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carmarthenshire.sharepoint.com/sites/SP_CFPO_PSBCon/Sustainable Development/Engagement &amp; Communication/Communications/School Climate Change Toolkit/Translated docs/"/>
    </mc:Choice>
  </mc:AlternateContent>
  <xr:revisionPtr revIDLastSave="0" documentId="8_{77F7B46A-861B-4B3C-BE12-09F5CABCF6E0}" xr6:coauthVersionLast="47" xr6:coauthVersionMax="47" xr10:uidLastSave="{00000000-0000-0000-0000-000000000000}"/>
  <bookViews>
    <workbookView xWindow="-110" yWindow="-110" windowWidth="19420" windowHeight="10300" tabRatio="685" activeTab="2" xr2:uid="{00000000-000D-0000-FFFF-FFFF00000000}"/>
  </bookViews>
  <sheets>
    <sheet name="Cyflwyniad" sheetId="10" r:id="rId1"/>
    <sheet name="Crynodeb o’r Canlyniadau" sheetId="18" r:id="rId2"/>
    <sheet name="Adeiladau, Fflyd ac Offer " sheetId="4" r:id="rId3"/>
    <sheet name="Teithio i’r Ysgol a Theithiau S" sheetId="19" r:id="rId4"/>
    <sheet name="Gwastraff" sheetId="12" r:id="rId5"/>
    <sheet name="Y Gadwyn Gyflenwi" sheetId="5" r:id="rId6"/>
    <sheet name="Adnewyddadwy" sheetId="14" r:id="rId7"/>
    <sheet name="Ffactorau Allyriadau" sheetId="17" r:id="rId8"/>
    <sheet name="Data Meincnodi" sheetId="21" r:id="rId9"/>
    <sheet name="Lists" sheetId="8" state="hidden" r:id="rId10"/>
  </sheets>
  <definedNames>
    <definedName name="_ftnref1" localSheetId="8">'Data Meincnodi'!$B$12</definedName>
    <definedName name="_Toc103010521" localSheetId="8">'Data Meincnodi'!$C$43</definedName>
    <definedName name="Aethercomments">Cyflwyniad!#REF!</definedName>
    <definedName name="Aggregates">Lists!$V$25:$W$25</definedName>
    <definedName name="AGRIC">Lists!$AP$26:$AP$28</definedName>
    <definedName name="Agriculture">Lists!$S$4:$S$5</definedName>
    <definedName name="Allfleetfuel">Lists!$Q$36:$Q$42</definedName>
    <definedName name="Anaestheticgas">Lists!$P$92:$P$95</definedName>
    <definedName name="Anaestheticgasunits">Lists!$P$98</definedName>
    <definedName name="Anatomicalwaste">Lists!$V$26</definedName>
    <definedName name="Asbestos">Lists!$V$27</definedName>
    <definedName name="Asphalt">Lists!$V$28:$W$28</definedName>
    <definedName name="Averageconstruction">Lists!$V$29</definedName>
    <definedName name="Batteries">Lists!$V$30:$W$30</definedName>
    <definedName name="Biodieselcategory1">Lists!$P$79:$P$80</definedName>
    <definedName name="Biodieselunits">Lists!$O$58:$O$59</definedName>
    <definedName name="Bioenergycategory1">Lists!$P$65:$P$67</definedName>
    <definedName name="Bioenergyunits">Lists!$O$71:$O$72</definedName>
    <definedName name="Biopetrolcategory1">Lists!$P$76</definedName>
    <definedName name="Biopetrolunits">Lists!$O$61:$O$62</definedName>
    <definedName name="BoundaryInfo">Cyflwyniad!#REF!</definedName>
    <definedName name="Bricks">Lists!$V$31:$W$31</definedName>
    <definedName name="Buildings">Lists!$O$15:$O$23</definedName>
    <definedName name="Buildingsownership">Lists!$O$4:$O$9</definedName>
    <definedName name="Businesstravel">Lists!$AE$4:$AE$9</definedName>
    <definedName name="Cattle">Lists!$S$20:$S$21</definedName>
    <definedName name="CHPplant">Lists!$O$25:$O$29</definedName>
    <definedName name="Clinicalwaste">Lists!$V$32</definedName>
    <definedName name="Clothing">Lists!$V$33:$X$33</definedName>
    <definedName name="Coalcategory1">Lists!$P$83</definedName>
    <definedName name="Coalunits">Lists!$O$80:$O$81</definedName>
    <definedName name="Commercialandindustrialwaste">Lists!$V$34:$X$34</definedName>
    <definedName name="Commuting">Lists!$AF$4:$AF$6</definedName>
    <definedName name="Concrete">Lists!$V$35:$W$35</definedName>
    <definedName name="Dieselcategory1">Lists!$P$50:$P$51</definedName>
    <definedName name="Dieselunits">Lists!$O$50:$O$51</definedName>
    <definedName name="Ease">Lists!$D$4:$D$10</definedName>
    <definedName name="Equipmentfuel">Lists!$Q$45:$Q$51</definedName>
    <definedName name="F_gases">Lists!$O$88:$O$248</definedName>
    <definedName name="F_GasUnits">Lists!$P$88</definedName>
    <definedName name="FarmlandSoils">Lists!$S$28:$S$29</definedName>
    <definedName name="Farmlandsoilsunits">Lists!$S$16:$S$17</definedName>
    <definedName name="Fgas">Lists!$O$88:$O$248</definedName>
    <definedName name="fgasunits">Lists!$P$88</definedName>
    <definedName name="FireandRescueService">Lists!$G$85:$G$87</definedName>
    <definedName name="Fleetandequipmentfuel">Lists!$Q$4:$Q$9</definedName>
    <definedName name="Fleetdistance">Lists!$R$4:$R$6</definedName>
    <definedName name="Flightcategory1">Lists!$AF$50:$AF$52</definedName>
    <definedName name="Flightdomestic">Lists!$AG$50</definedName>
    <definedName name="Flightlonghaul">Lists!$AH$50:$AH$52</definedName>
    <definedName name="Flightshorthaul">Lists!$AH$50:$AH$52</definedName>
    <definedName name="Flightunits">Lists!$AE$50:$AE$51</definedName>
    <definedName name="Gasoilcategory1">Lists!$P$46</definedName>
    <definedName name="Gasoilunits">Lists!$O$46:$O$47</definedName>
    <definedName name="Generatorfuel">Lists!$Q$53:$Q$58</definedName>
    <definedName name="Gridelectricitycategory1">Lists!$P$58</definedName>
    <definedName name="Gridelectricityunits">Lists!$O$64</definedName>
    <definedName name="HealthBoardorTrust">Lists!$G$42:$G$54</definedName>
    <definedName name="Heatandsteamcategory1">Lists!$P$61:$P$62</definedName>
    <definedName name="Heatandsteamunits">Lists!$O$67</definedName>
    <definedName name="HGVfuel">Lists!$Q$33:$Q$34</definedName>
    <definedName name="HGVsize">Lists!$R$31:$R$33</definedName>
    <definedName name="HGVsizefuel">Lists!$Q$33</definedName>
    <definedName name="HGVunits">Lists!$R$65:$R$66</definedName>
    <definedName name="Hirecaraverage">Lists!$AG$21:$AG$26</definedName>
    <definedName name="Hirecarcategory1">Lists!$AF$21:$AF$24</definedName>
    <definedName name="Hirecarlarge">Lists!$AG$21:$AG$26</definedName>
    <definedName name="Hirecarmedium">Lists!$AG$21:$AG$26</definedName>
    <definedName name="Hirecarsmall">Lists!$AG$21:$AG$26</definedName>
    <definedName name="Hirecarunits">Lists!$AE$21:$AE$22</definedName>
    <definedName name="Homeworking">Lists!$AG$4</definedName>
    <definedName name="Householdresidualwaste">Lists!$V$36:$W$36</definedName>
    <definedName name="Infectiouswaste">Lists!$V$37</definedName>
    <definedName name="Insulation">Lists!$V$38:$W$38</definedName>
    <definedName name="Kerosenecategory1">Lists!$P$42</definedName>
    <definedName name="Keroseneunits">Lists!$O$42:$O$43</definedName>
    <definedName name="landuse">Lists!$L$4:$L$9</definedName>
    <definedName name="landusetypes">Lists!$L$3</definedName>
    <definedName name="Livestock">Lists!$S$20:$S$25</definedName>
    <definedName name="Livestockunits">Lists!$S$14</definedName>
    <definedName name="LocalAuthority">Lists!$G$20:$G$41</definedName>
    <definedName name="LPGcategory1">Lists!$P$37</definedName>
    <definedName name="LPGunits">Lists!$O$37:$O$38</definedName>
    <definedName name="Medicalcontaminatedsharpswaste">Lists!$V$39</definedName>
    <definedName name="Medicinalwaste">Lists!$V$40</definedName>
    <definedName name="Metals">Lists!$V$41:$W$41</definedName>
    <definedName name="Methdologytier2">Lists!$B$16</definedName>
    <definedName name="Methodologyall">Lists!$B$4:$B$6</definedName>
    <definedName name="Methodologytier">Lists!$BA$4:$BC$29</definedName>
    <definedName name="Methodologytier1">Lists!$B$9</definedName>
    <definedName name="Methodologytier23">Lists!$B$19:$B$20</definedName>
    <definedName name="Methodologytier3">Lists!$B$23</definedName>
    <definedName name="Mineraloil">Lists!$V$42:$W$42</definedName>
    <definedName name="Mixedglass">Lists!$V$43</definedName>
    <definedName name="Mixedmetalcans">Lists!$V$44</definedName>
    <definedName name="Mixedpaper">Lists!$V$45:$W$45</definedName>
    <definedName name="Mixedplastics">Lists!$V$46</definedName>
    <definedName name="Mixedrecycling">Lists!$V$47</definedName>
    <definedName name="MixedWEEE">Lists!$V$48:$X$48</definedName>
    <definedName name="Motorbikeaverage">Lists!$AG$29</definedName>
    <definedName name="Motorbikecategory1">Lists!$AF$29:$AF$32</definedName>
    <definedName name="motorbikelarge">Lists!$AG$29</definedName>
    <definedName name="Motorbikemedium">Lists!$AG$29</definedName>
    <definedName name="Motorbikesmall">Lists!$AG$29</definedName>
    <definedName name="Motorbikeunits">Lists!$AE$29:$AE$30</definedName>
    <definedName name="Municipalwaste">Lists!$V$4:$V$17</definedName>
    <definedName name="NationalParkAuthority">Lists!$G$55:$G$57</definedName>
    <definedName name="Naturalgascategory1">Lists!$P$33</definedName>
    <definedName name="Naturalgasunits">Lists!$O$33:$O$34</definedName>
    <definedName name="Noninfectiousoffensivewaste">Lists!$V$49</definedName>
    <definedName name="Onsiterenewables">Lists!$AL$4:$AL$7</definedName>
    <definedName name="Organicfoodanddrink">Lists!$V$50:$Y$50</definedName>
    <definedName name="Organicgarden">Lists!$V$51:$Y$51</definedName>
    <definedName name="Organicmixed">Lists!$V$52:$Y$52</definedName>
    <definedName name="OrganisationalInfo">Cyflwyniad!$B$7:$D$11</definedName>
    <definedName name="Organisationalwaste">Lists!$U$4:$U$22</definedName>
    <definedName name="Organisations">Lists!$G$20:$G$88</definedName>
    <definedName name="Organisationwastetype">Lists!$U$4:$U$20</definedName>
    <definedName name="OrgType">Lists!$G$4:$G$10</definedName>
    <definedName name="Other">Lists!$G$58:$G$75</definedName>
    <definedName name="Othergases">Lists!$O$84:$O$85</definedName>
    <definedName name="Peerreview">Cyflwyniad!$B$42:$K$45</definedName>
    <definedName name="Petrolcategory1">Lists!$P$54:$P$55</definedName>
    <definedName name="Petrolunits">Lists!$O$54:$O$55</definedName>
    <definedName name="Plasterboard">Lists!$V$53:$W$53</definedName>
    <definedName name="Poolcarfuel">Lists!$Q$15:$Q$21</definedName>
    <definedName name="PoolcarSize">Lists!$R$15</definedName>
    <definedName name="Poolcarsizefuel">Lists!$R$37:$R$42</definedName>
    <definedName name="Poolcarunits">Lists!$R$57:$R$58</definedName>
    <definedName name="Privatecaraverage">Lists!$AG$13:$AG$18</definedName>
    <definedName name="Privatecarcategory1">Lists!$AF$13:$AF$16</definedName>
    <definedName name="Privatecarlarge">Lists!$AG$13:$AG$18</definedName>
    <definedName name="Privatecarmedium">Lists!$AG$13:$AG$18</definedName>
    <definedName name="Privatecarsmall">Lists!$AG$13:$AG$18</definedName>
    <definedName name="Privatecarunits">Lists!$AE$13:$AE$14</definedName>
    <definedName name="Projectwaste">Lists!$W$4:$W$17</definedName>
    <definedName name="Publictransportbus">Lists!$AH$35:$AH$36</definedName>
    <definedName name="Publictransportcategory1">Lists!$AF$35:$AF$38</definedName>
    <definedName name="Publictransportferry">Lists!$AJ$35:$AJ$36</definedName>
    <definedName name="Publictransportrail">Lists!$AI$35:$AI$38</definedName>
    <definedName name="Publictransporttaxi">Lists!$AG$35:$AG$36</definedName>
    <definedName name="Publictransportunits">Lists!$AE$35:$AE$36</definedName>
    <definedName name="Purchasedrenewableelectricityagreement">Lists!$AM$17:$AM$21</definedName>
    <definedName name="Purchasedrenewableheatagreement">Lists!$AM$9:$AM$11</definedName>
    <definedName name="Purchasedrenewables">Lists!$AM$4:$AM$5</definedName>
    <definedName name="Regions">Lists!$G$13:$G$17</definedName>
    <definedName name="RenewableCHPelectricitytechnology">Lists!$AL$22:$AL$23</definedName>
    <definedName name="RenewableCHPheattechnology">Lists!$AL$26:$AL$27</definedName>
    <definedName name="Renewableelectricity">Lists!$AL$17:$AL$19</definedName>
    <definedName name="Renewableelectricitytechnology">Lists!$AL$17:$AL$19</definedName>
    <definedName name="Renewableheat">Lists!$AL$9:$AL$14</definedName>
    <definedName name="Renewableheattechnology">Lists!$AL$9:$AL$14</definedName>
    <definedName name="Renewables">Lists!$AL$4:$AL$6</definedName>
    <definedName name="ReportingComments">Cyflwyniad!$B$39:$K$39</definedName>
    <definedName name="Reportingyear">Lists!$I$4:$I$5</definedName>
    <definedName name="RSD">Lists!$C$4:$C$15</definedName>
    <definedName name="Sheep">Lists!$S$25</definedName>
    <definedName name="SICProductCategories">Lists!$AU$3:$AU$112</definedName>
    <definedName name="SICProductCodeLookup">Lists!$AU$3:$AW$112</definedName>
    <definedName name="soil">Lists!$M$4:$M$5</definedName>
    <definedName name="Streetlighting">Lists!$P$15</definedName>
    <definedName name="SupplyChain_Tier2RSD">Lists!$B$27:$B$29</definedName>
    <definedName name="Supplychaingroup">Lists!$AP$4:$AP$23</definedName>
    <definedName name="Typeoflighting">Lists!$P$4:$P$6</definedName>
    <definedName name="Tyres">Lists!$V$55:$W$55</definedName>
    <definedName name="UniveristyorCollege">Lists!$G$76:$G$87</definedName>
    <definedName name="vanaverage">Lists!$AJ$13:$AJ$17</definedName>
    <definedName name="vanbiodiesel">Lists!$AJ$13</definedName>
    <definedName name="vanbiopetrol">Lists!$AJ$13</definedName>
    <definedName name="vancategory1">Lists!$AI$13</definedName>
    <definedName name="Vancategory2">Lists!$AJ$13:$AJ$17</definedName>
    <definedName name="vanfuel">Lists!$Q$24:$Q$30</definedName>
    <definedName name="Vansize">Lists!$R$24</definedName>
    <definedName name="Vansizefuel">Lists!$R$46:$R$50</definedName>
    <definedName name="Vanunits">Lists!$R$61:$R$62</definedName>
    <definedName name="Vehicles">Lists!$AE$4:$AE$8</definedName>
    <definedName name="Version">Cyflwyniad!$E$1</definedName>
    <definedName name="WasteSoils">Lists!$V$54:$W$54</definedName>
    <definedName name="Wastesource">Lists!$U$3:$U$5</definedName>
    <definedName name="Wasteunits">Lists!$X$4:$X$5</definedName>
    <definedName name="Watercategory1">Lists!$P$70:$P$73</definedName>
    <definedName name="Waterunits">Lists!$O$76:$O$77</definedName>
    <definedName name="WelshGovernment">Lists!$G$88</definedName>
    <definedName name="Wood">Lists!$V$56:$Y$56</definedName>
    <definedName name="Yesno">Lists!$E$4:$E$5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381" i="17" l="1"/>
  <c r="V380" i="17"/>
  <c r="V379" i="17"/>
  <c r="V378" i="17"/>
  <c r="V377" i="17"/>
  <c r="V376" i="17"/>
  <c r="V375" i="17"/>
  <c r="V374" i="17"/>
  <c r="V373" i="17"/>
  <c r="V372" i="17"/>
  <c r="V371" i="17"/>
  <c r="V370" i="17"/>
  <c r="V369" i="17"/>
  <c r="V368" i="17"/>
  <c r="V367" i="17"/>
  <c r="V366" i="17"/>
  <c r="V365" i="17"/>
  <c r="V364" i="17"/>
  <c r="V363" i="17"/>
  <c r="V362" i="17"/>
  <c r="V361" i="17"/>
  <c r="V360" i="17"/>
  <c r="V359" i="17"/>
  <c r="V358" i="17"/>
  <c r="V357" i="17"/>
  <c r="V356" i="17"/>
  <c r="V355" i="17"/>
  <c r="V354" i="17"/>
  <c r="V353" i="17"/>
  <c r="V352" i="17"/>
  <c r="V351" i="17"/>
  <c r="V350" i="17"/>
  <c r="V349" i="17"/>
  <c r="V348" i="17"/>
  <c r="V347" i="17"/>
  <c r="V346" i="17"/>
  <c r="V345" i="17"/>
  <c r="V344" i="17"/>
  <c r="V343" i="17"/>
  <c r="V342" i="17"/>
  <c r="V341" i="17"/>
  <c r="V340" i="17"/>
  <c r="V339" i="17"/>
  <c r="V338" i="17"/>
  <c r="V337" i="17"/>
  <c r="V336" i="17"/>
  <c r="V335" i="17"/>
  <c r="V334" i="17"/>
  <c r="V333" i="17"/>
  <c r="V332" i="17"/>
  <c r="V331" i="17"/>
  <c r="V330" i="17"/>
  <c r="V329" i="17"/>
  <c r="V328" i="17"/>
  <c r="V327" i="17"/>
  <c r="V326" i="17"/>
  <c r="V325" i="17"/>
  <c r="V324" i="17"/>
  <c r="V323" i="17"/>
  <c r="V322" i="17"/>
  <c r="V321" i="17"/>
  <c r="V320" i="17"/>
  <c r="V319" i="17"/>
  <c r="V318" i="17"/>
  <c r="V317" i="17"/>
  <c r="V316" i="17"/>
  <c r="V315" i="17"/>
  <c r="V314" i="17"/>
  <c r="V313" i="17"/>
  <c r="V312" i="17"/>
  <c r="V311" i="17"/>
  <c r="V310" i="17"/>
  <c r="V309" i="17"/>
  <c r="V308" i="17"/>
  <c r="V307" i="17"/>
  <c r="V306" i="17"/>
  <c r="V305" i="17"/>
  <c r="V304" i="17"/>
  <c r="V303" i="17"/>
  <c r="V302" i="17"/>
  <c r="V301" i="17"/>
  <c r="V300" i="17"/>
  <c r="V299" i="17"/>
  <c r="V298" i="17"/>
  <c r="V297" i="17"/>
  <c r="V296" i="17"/>
  <c r="V295" i="17"/>
  <c r="V294" i="17"/>
  <c r="V293" i="17"/>
  <c r="V292" i="17"/>
  <c r="V291" i="17"/>
  <c r="V290" i="17"/>
  <c r="V289" i="17"/>
  <c r="V288" i="17"/>
  <c r="V287" i="17"/>
  <c r="V286" i="17"/>
  <c r="V285" i="17"/>
  <c r="V284" i="17"/>
  <c r="V283" i="17"/>
  <c r="V282" i="17"/>
  <c r="V281" i="17"/>
  <c r="V280" i="17"/>
  <c r="V279" i="17"/>
  <c r="V278" i="17"/>
  <c r="V277" i="17"/>
  <c r="V276" i="17"/>
  <c r="V275" i="17"/>
  <c r="V274" i="17"/>
  <c r="V273" i="17"/>
  <c r="V272" i="17"/>
  <c r="V271" i="17"/>
  <c r="V270" i="17"/>
  <c r="V269" i="17"/>
  <c r="V268" i="17"/>
  <c r="V267" i="17"/>
  <c r="V266" i="17"/>
  <c r="V265" i="17"/>
  <c r="V264" i="17"/>
  <c r="V263" i="17"/>
  <c r="V262" i="17"/>
  <c r="V261" i="17"/>
  <c r="V260" i="17"/>
  <c r="V259" i="17"/>
  <c r="V258" i="17"/>
  <c r="V257" i="17"/>
  <c r="V256" i="17"/>
  <c r="V255" i="17"/>
  <c r="V254" i="17"/>
  <c r="V253" i="17"/>
  <c r="V252" i="17"/>
  <c r="V251" i="17"/>
  <c r="V250" i="17"/>
  <c r="V249" i="17"/>
  <c r="V248" i="17"/>
  <c r="V247" i="17"/>
  <c r="V246" i="17"/>
  <c r="V245" i="17"/>
  <c r="V244" i="17"/>
  <c r="V243" i="17"/>
  <c r="V242" i="17"/>
  <c r="V241" i="17"/>
  <c r="V240" i="17"/>
  <c r="V239" i="17"/>
  <c r="V238" i="17"/>
  <c r="V237" i="17"/>
  <c r="V236" i="17"/>
  <c r="V235" i="17"/>
  <c r="V234" i="17"/>
  <c r="V233" i="17"/>
  <c r="V232" i="17"/>
  <c r="V231" i="17"/>
  <c r="V230" i="17"/>
  <c r="V229" i="17"/>
  <c r="V228" i="17"/>
  <c r="V227" i="17"/>
  <c r="V226" i="17"/>
  <c r="V225" i="17"/>
  <c r="V224" i="17"/>
  <c r="V223" i="17"/>
  <c r="V222" i="17"/>
  <c r="V221" i="17"/>
  <c r="V220" i="17"/>
  <c r="V219" i="17"/>
  <c r="V218" i="17"/>
  <c r="V217" i="17"/>
  <c r="V216" i="17"/>
  <c r="V215" i="17"/>
  <c r="V214" i="17"/>
  <c r="V213" i="17"/>
  <c r="V212" i="17"/>
  <c r="V211" i="17"/>
  <c r="V210" i="17"/>
  <c r="V209" i="17"/>
  <c r="V208" i="17"/>
  <c r="V207" i="17"/>
  <c r="V206" i="17"/>
  <c r="V205" i="17"/>
  <c r="V204" i="17"/>
  <c r="R204" i="17"/>
  <c r="V203" i="17"/>
  <c r="V202" i="17"/>
  <c r="V201" i="17"/>
  <c r="V200" i="17"/>
  <c r="V199" i="17"/>
  <c r="V198" i="17"/>
  <c r="V197" i="17"/>
  <c r="V196" i="17"/>
  <c r="R196" i="17"/>
  <c r="V195" i="17"/>
  <c r="V194" i="17"/>
  <c r="V193" i="17"/>
  <c r="V192" i="17"/>
  <c r="V191" i="17"/>
  <c r="V190" i="17"/>
  <c r="V189" i="17"/>
  <c r="V188" i="17"/>
  <c r="R188" i="17"/>
  <c r="V187" i="17"/>
  <c r="V186" i="17"/>
  <c r="V185" i="17"/>
  <c r="V184" i="17"/>
  <c r="V183" i="17"/>
  <c r="V182" i="17"/>
  <c r="V181" i="17"/>
  <c r="R181" i="17"/>
  <c r="V180" i="17"/>
  <c r="V179" i="17"/>
  <c r="V178" i="17"/>
  <c r="V177" i="17"/>
  <c r="V176" i="17"/>
  <c r="V175" i="17"/>
  <c r="R175" i="17"/>
  <c r="V174" i="17"/>
  <c r="V173" i="17"/>
  <c r="V172" i="17"/>
  <c r="V171" i="17"/>
  <c r="V170" i="17"/>
  <c r="V169" i="17"/>
  <c r="V168" i="17"/>
  <c r="V167" i="17"/>
  <c r="V166" i="17"/>
  <c r="V165" i="17"/>
  <c r="V164" i="17"/>
  <c r="V163" i="17"/>
  <c r="V162" i="17"/>
  <c r="V161" i="17"/>
  <c r="V160" i="17"/>
  <c r="V159" i="17"/>
  <c r="R159" i="17"/>
  <c r="V158" i="17"/>
  <c r="V157" i="17"/>
  <c r="V156" i="17"/>
  <c r="V155" i="17"/>
  <c r="V154" i="17"/>
  <c r="V153" i="17"/>
  <c r="R153" i="17"/>
  <c r="V152" i="17"/>
  <c r="V151" i="17"/>
  <c r="V150" i="17"/>
  <c r="V149" i="17"/>
  <c r="V148" i="17"/>
  <c r="V147" i="17"/>
  <c r="R147" i="17"/>
  <c r="V146" i="17"/>
  <c r="V143" i="17"/>
  <c r="V142" i="17"/>
  <c r="V141" i="17"/>
  <c r="V140" i="17"/>
  <c r="V139" i="17"/>
  <c r="V138" i="17"/>
  <c r="V137" i="17"/>
  <c r="V136" i="17"/>
  <c r="V135" i="17"/>
  <c r="V134" i="17"/>
  <c r="V133" i="17"/>
  <c r="V132" i="17"/>
  <c r="V131" i="17"/>
  <c r="V130" i="17"/>
  <c r="V129" i="17"/>
  <c r="V128" i="17"/>
  <c r="V127" i="17"/>
  <c r="V126" i="17"/>
  <c r="V125" i="17"/>
  <c r="V124" i="17"/>
  <c r="V123" i="17"/>
  <c r="V122" i="17"/>
  <c r="V121" i="17"/>
  <c r="V120" i="17"/>
  <c r="V119" i="17"/>
  <c r="V118" i="17"/>
  <c r="V117" i="17"/>
  <c r="V116" i="17"/>
  <c r="V115" i="17"/>
  <c r="V114" i="17"/>
  <c r="V113" i="17"/>
  <c r="V112" i="17"/>
  <c r="V111" i="17"/>
  <c r="V110" i="17"/>
  <c r="V109" i="17"/>
  <c r="V108" i="17"/>
  <c r="V107" i="17"/>
  <c r="V106" i="17"/>
  <c r="V105" i="17"/>
  <c r="V104" i="17"/>
  <c r="V103" i="17"/>
  <c r="V102" i="17"/>
  <c r="V101" i="17"/>
  <c r="V100" i="17"/>
  <c r="V99" i="17"/>
  <c r="V98" i="17"/>
  <c r="V97" i="17"/>
  <c r="V96" i="17"/>
  <c r="V95" i="17"/>
  <c r="V94" i="17"/>
  <c r="V93" i="17"/>
  <c r="V92" i="17"/>
  <c r="V91" i="17"/>
  <c r="V90" i="17"/>
  <c r="V89" i="17"/>
  <c r="V88" i="17"/>
  <c r="V87" i="17"/>
  <c r="V86" i="17"/>
  <c r="V85" i="17"/>
  <c r="V84" i="17"/>
  <c r="V83" i="17"/>
  <c r="V82" i="17"/>
  <c r="V81" i="17"/>
  <c r="V80" i="17"/>
  <c r="V79" i="17"/>
  <c r="V78" i="17"/>
  <c r="V77" i="17"/>
  <c r="V76" i="17"/>
  <c r="V75" i="17"/>
  <c r="V74" i="17"/>
  <c r="V73" i="17"/>
  <c r="V72" i="17"/>
  <c r="V71" i="17"/>
  <c r="V70" i="17"/>
  <c r="V69" i="17"/>
  <c r="V68" i="17"/>
  <c r="V67" i="17"/>
  <c r="V66" i="17"/>
  <c r="V65" i="17"/>
  <c r="V64" i="17"/>
  <c r="V63" i="17"/>
  <c r="V62" i="17"/>
  <c r="V61" i="17"/>
  <c r="V60" i="17"/>
  <c r="V59" i="17"/>
  <c r="V58" i="17"/>
  <c r="V57" i="17"/>
  <c r="V56" i="17"/>
  <c r="V55" i="17"/>
  <c r="V54" i="17"/>
  <c r="V53" i="17"/>
  <c r="V52" i="17"/>
  <c r="V51" i="17"/>
  <c r="V50" i="17"/>
  <c r="V49" i="17"/>
  <c r="V48" i="17"/>
  <c r="V47" i="17"/>
  <c r="V46" i="17"/>
  <c r="V45" i="17"/>
  <c r="V44" i="17"/>
  <c r="V43" i="17"/>
  <c r="V42" i="17"/>
  <c r="V41" i="17"/>
  <c r="V40" i="17"/>
  <c r="V39" i="17"/>
  <c r="V38" i="17"/>
  <c r="V37" i="17"/>
  <c r="V36" i="17"/>
  <c r="V35" i="17"/>
  <c r="V34" i="17"/>
  <c r="V33" i="17"/>
  <c r="V32" i="17"/>
  <c r="V31" i="17"/>
  <c r="V30" i="17"/>
  <c r="V29" i="17"/>
  <c r="V28" i="17"/>
  <c r="V27" i="17"/>
  <c r="V26" i="17"/>
  <c r="V25" i="17"/>
  <c r="V24" i="17"/>
  <c r="U24" i="17"/>
  <c r="T24" i="17"/>
  <c r="P24" i="17"/>
  <c r="O24" i="17"/>
  <c r="V23" i="17"/>
  <c r="U23" i="17"/>
  <c r="T23" i="17"/>
  <c r="P23" i="17"/>
  <c r="V22" i="17"/>
  <c r="U22" i="17"/>
  <c r="T22" i="17"/>
  <c r="P22" i="17"/>
  <c r="V21" i="17"/>
  <c r="V20" i="17"/>
  <c r="V19" i="17"/>
  <c r="V18" i="17"/>
  <c r="V17" i="17"/>
  <c r="V16" i="17"/>
  <c r="V15" i="17"/>
  <c r="V14" i="17"/>
  <c r="V13" i="17"/>
  <c r="V12" i="17"/>
  <c r="V11" i="17"/>
  <c r="U11" i="17"/>
  <c r="V10" i="17"/>
  <c r="O10" i="17"/>
  <c r="V9" i="17"/>
  <c r="O9" i="17"/>
  <c r="V8" i="17"/>
  <c r="O8" i="17"/>
  <c r="V7" i="17"/>
  <c r="O7" i="17"/>
  <c r="V6" i="17"/>
  <c r="V5" i="17"/>
  <c r="V4" i="17"/>
  <c r="V3" i="17"/>
  <c r="O3" i="17"/>
  <c r="F6" i="14"/>
  <c r="C86" i="5"/>
  <c r="B86" i="5"/>
  <c r="C85" i="5"/>
  <c r="B85" i="5"/>
  <c r="C84" i="5"/>
  <c r="B84" i="5"/>
  <c r="C83" i="5"/>
  <c r="B83" i="5"/>
  <c r="C82" i="5"/>
  <c r="B82" i="5"/>
  <c r="C81" i="5"/>
  <c r="B81" i="5"/>
  <c r="C80" i="5"/>
  <c r="B80" i="5"/>
  <c r="C79" i="5"/>
  <c r="B79" i="5"/>
  <c r="C78" i="5"/>
  <c r="B78" i="5"/>
  <c r="C77" i="5"/>
  <c r="B77" i="5"/>
  <c r="C76" i="5"/>
  <c r="B76" i="5"/>
  <c r="C75" i="5"/>
  <c r="B75" i="5"/>
  <c r="C74" i="5"/>
  <c r="B74" i="5"/>
  <c r="C73" i="5"/>
  <c r="B73" i="5"/>
  <c r="C72" i="5"/>
  <c r="B72" i="5"/>
  <c r="C71" i="5"/>
  <c r="B71" i="5"/>
  <c r="C70" i="5"/>
  <c r="B70" i="5"/>
  <c r="C69" i="5"/>
  <c r="B69" i="5"/>
  <c r="C68" i="5"/>
  <c r="B68" i="5"/>
  <c r="C67" i="5"/>
  <c r="B67" i="5"/>
  <c r="C66" i="5"/>
  <c r="B66" i="5"/>
  <c r="C65" i="5"/>
  <c r="B65" i="5"/>
  <c r="C64" i="5"/>
  <c r="B64" i="5"/>
  <c r="C63" i="5"/>
  <c r="B63" i="5"/>
  <c r="C62" i="5"/>
  <c r="B62" i="5"/>
  <c r="C61" i="5"/>
  <c r="B61" i="5"/>
  <c r="C60" i="5"/>
  <c r="B60" i="5"/>
  <c r="C59" i="5"/>
  <c r="B59" i="5"/>
  <c r="C58" i="5"/>
  <c r="B58" i="5"/>
  <c r="C57" i="5"/>
  <c r="B57" i="5"/>
  <c r="C56" i="5"/>
  <c r="B56" i="5"/>
  <c r="C55" i="5"/>
  <c r="B55" i="5"/>
  <c r="J48" i="5"/>
  <c r="I48" i="5"/>
  <c r="G48" i="5"/>
  <c r="J47" i="5"/>
  <c r="I47" i="5"/>
  <c r="G47" i="5"/>
  <c r="J46" i="5"/>
  <c r="I46" i="5"/>
  <c r="G46" i="5"/>
  <c r="I45" i="5"/>
  <c r="G45" i="5"/>
  <c r="J44" i="5"/>
  <c r="I44" i="5"/>
  <c r="G44" i="5"/>
  <c r="J43" i="5"/>
  <c r="I43" i="5"/>
  <c r="G43" i="5"/>
  <c r="J42" i="5"/>
  <c r="I42" i="5"/>
  <c r="G42" i="5"/>
  <c r="J41" i="5"/>
  <c r="I41" i="5"/>
  <c r="G41" i="5"/>
  <c r="J40" i="5"/>
  <c r="I40" i="5"/>
  <c r="G40" i="5"/>
  <c r="J39" i="5"/>
  <c r="I39" i="5"/>
  <c r="G39" i="5"/>
  <c r="J38" i="5"/>
  <c r="I38" i="5"/>
  <c r="G38" i="5"/>
  <c r="J37" i="5"/>
  <c r="I37" i="5"/>
  <c r="G37" i="5"/>
  <c r="J36" i="5"/>
  <c r="I36" i="5"/>
  <c r="G36" i="5"/>
  <c r="J35" i="5"/>
  <c r="I35" i="5"/>
  <c r="G35" i="5"/>
  <c r="J34" i="5"/>
  <c r="I34" i="5"/>
  <c r="G34" i="5"/>
  <c r="J33" i="5"/>
  <c r="I33" i="5"/>
  <c r="G33" i="5"/>
  <c r="J32" i="5"/>
  <c r="I32" i="5"/>
  <c r="G32" i="5"/>
  <c r="J31" i="5"/>
  <c r="I31" i="5"/>
  <c r="G31" i="5"/>
  <c r="J30" i="5"/>
  <c r="I30" i="5"/>
  <c r="G30" i="5"/>
  <c r="J29" i="5"/>
  <c r="I29" i="5"/>
  <c r="G29" i="5"/>
  <c r="J28" i="5"/>
  <c r="I28" i="5"/>
  <c r="G28" i="5"/>
  <c r="J27" i="5"/>
  <c r="I27" i="5"/>
  <c r="G27" i="5"/>
  <c r="J26" i="5"/>
  <c r="I26" i="5"/>
  <c r="G26" i="5"/>
  <c r="J25" i="5"/>
  <c r="I25" i="5"/>
  <c r="G25" i="5"/>
  <c r="J24" i="5"/>
  <c r="I24" i="5"/>
  <c r="G24" i="5"/>
  <c r="J23" i="5"/>
  <c r="I23" i="5"/>
  <c r="G23" i="5"/>
  <c r="J22" i="5"/>
  <c r="I22" i="5"/>
  <c r="G22" i="5"/>
  <c r="J21" i="5"/>
  <c r="I21" i="5"/>
  <c r="G21" i="5"/>
  <c r="J20" i="5"/>
  <c r="I20" i="5"/>
  <c r="G20" i="5"/>
  <c r="J19" i="5"/>
  <c r="I19" i="5"/>
  <c r="G19" i="5"/>
  <c r="J18" i="5"/>
  <c r="I18" i="5"/>
  <c r="G18" i="5"/>
  <c r="J17" i="5"/>
  <c r="I17" i="5"/>
  <c r="G17" i="5"/>
  <c r="J16" i="5"/>
  <c r="I16" i="5"/>
  <c r="G16" i="5"/>
  <c r="J15" i="5"/>
  <c r="I15" i="5"/>
  <c r="G15" i="5"/>
  <c r="J14" i="5"/>
  <c r="I14" i="5"/>
  <c r="G14" i="5"/>
  <c r="J13" i="5"/>
  <c r="I13" i="5"/>
  <c r="G13" i="5"/>
  <c r="J12" i="5"/>
  <c r="I12" i="5"/>
  <c r="G12" i="5"/>
  <c r="J11" i="5"/>
  <c r="I11" i="5"/>
  <c r="G11" i="5"/>
  <c r="J10" i="5"/>
  <c r="I10" i="5"/>
  <c r="G10" i="5"/>
  <c r="J9" i="5"/>
  <c r="I9" i="5"/>
  <c r="G9" i="5"/>
  <c r="J8" i="5"/>
  <c r="I8" i="5"/>
  <c r="G8" i="5"/>
  <c r="I48" i="12"/>
  <c r="H48" i="12" a="1"/>
  <c r="H48" i="12" s="1"/>
  <c r="G48" i="12" a="1"/>
  <c r="G48" i="12"/>
  <c r="F48" i="12" a="1"/>
  <c r="F48" i="12" s="1"/>
  <c r="K47" i="12" a="1"/>
  <c r="K47" i="12"/>
  <c r="I47" i="12"/>
  <c r="H47" i="12" a="1"/>
  <c r="H47" i="12"/>
  <c r="G47" i="12" a="1"/>
  <c r="G47" i="12" s="1"/>
  <c r="F47" i="12" a="1"/>
  <c r="F47" i="12"/>
  <c r="O46" i="12" a="1"/>
  <c r="O46" i="12" s="1"/>
  <c r="M46" i="12" a="1"/>
  <c r="M46" i="12" s="1"/>
  <c r="I46" i="12"/>
  <c r="H46" i="12" a="1"/>
  <c r="H46" i="12"/>
  <c r="G46" i="12" a="1"/>
  <c r="G46" i="12" s="1"/>
  <c r="F46" i="12" a="1"/>
  <c r="F46" i="12" s="1"/>
  <c r="N45" i="12" a="1"/>
  <c r="N45" i="12" s="1"/>
  <c r="K45" i="12" a="1"/>
  <c r="K45" i="12" s="1"/>
  <c r="I45" i="12"/>
  <c r="H45" i="12" a="1"/>
  <c r="H45" i="12"/>
  <c r="G45" i="12" a="1"/>
  <c r="G45" i="12"/>
  <c r="F45" i="12" a="1"/>
  <c r="F45" i="12"/>
  <c r="I44" i="12"/>
  <c r="H44" i="12" a="1"/>
  <c r="H44" i="12" s="1"/>
  <c r="G44" i="12" a="1"/>
  <c r="G44" i="12"/>
  <c r="F44" i="12" a="1"/>
  <c r="F44" i="12" s="1"/>
  <c r="O43" i="12" a="1"/>
  <c r="O43" i="12" s="1"/>
  <c r="M43" i="12" a="1"/>
  <c r="M43" i="12" s="1"/>
  <c r="I43" i="12"/>
  <c r="H43" i="12" a="1"/>
  <c r="H43" i="12"/>
  <c r="G43" i="12" a="1"/>
  <c r="G43" i="12"/>
  <c r="F43" i="12" a="1"/>
  <c r="F43" i="12"/>
  <c r="L43" i="12" s="1" a="1"/>
  <c r="L43" i="12" s="1"/>
  <c r="I42" i="12"/>
  <c r="H42" i="12" a="1"/>
  <c r="H42" i="12" s="1"/>
  <c r="G42" i="12" a="1"/>
  <c r="G42" i="12" s="1"/>
  <c r="F42" i="12" a="1"/>
  <c r="F42" i="12"/>
  <c r="M41" i="12" a="1"/>
  <c r="M41" i="12" s="1"/>
  <c r="K41" i="12" a="1"/>
  <c r="K41" i="12" s="1"/>
  <c r="I41" i="12"/>
  <c r="H41" i="12" a="1"/>
  <c r="H41" i="12"/>
  <c r="G41" i="12" a="1"/>
  <c r="G41" i="12"/>
  <c r="F41" i="12" a="1"/>
  <c r="F41" i="12"/>
  <c r="O41" i="12" s="1" a="1"/>
  <c r="O41" i="12" s="1"/>
  <c r="N40" i="12" a="1"/>
  <c r="N40" i="12" s="1"/>
  <c r="L40" i="12" a="1"/>
  <c r="L40" i="12"/>
  <c r="I40" i="12"/>
  <c r="H40" i="12" a="1"/>
  <c r="H40" i="12" s="1"/>
  <c r="G40" i="12" a="1"/>
  <c r="G40" i="12" s="1"/>
  <c r="F40" i="12" a="1"/>
  <c r="F40" i="12" s="1"/>
  <c r="O39" i="12" a="1"/>
  <c r="O39" i="12"/>
  <c r="M39" i="12" a="1"/>
  <c r="M39" i="12"/>
  <c r="L39" i="12" a="1"/>
  <c r="L39" i="12" s="1"/>
  <c r="I39" i="12"/>
  <c r="H39" i="12" a="1"/>
  <c r="H39" i="12"/>
  <c r="G39" i="12" a="1"/>
  <c r="G39" i="12"/>
  <c r="F39" i="12" a="1"/>
  <c r="F39" i="12"/>
  <c r="N39" i="12" s="1" a="1"/>
  <c r="N39" i="12" s="1"/>
  <c r="K38" i="12" a="1"/>
  <c r="K38" i="12" s="1"/>
  <c r="I38" i="12"/>
  <c r="H38" i="12" a="1"/>
  <c r="H38" i="12"/>
  <c r="G38" i="12" a="1"/>
  <c r="G38" i="12" s="1"/>
  <c r="F38" i="12" a="1"/>
  <c r="F38" i="12"/>
  <c r="O37" i="12" a="1"/>
  <c r="O37" i="12" s="1"/>
  <c r="M37" i="12" a="1"/>
  <c r="M37" i="12" s="1"/>
  <c r="I37" i="12"/>
  <c r="H37" i="12" a="1"/>
  <c r="H37" i="12" s="1"/>
  <c r="G37" i="12" a="1"/>
  <c r="G37" i="12"/>
  <c r="F37" i="12" a="1"/>
  <c r="F37" i="12" s="1"/>
  <c r="N36" i="12" a="1"/>
  <c r="N36" i="12"/>
  <c r="L36" i="12" a="1"/>
  <c r="L36" i="12"/>
  <c r="I36" i="12"/>
  <c r="H36" i="12" a="1"/>
  <c r="H36" i="12" s="1"/>
  <c r="G36" i="12" a="1"/>
  <c r="G36" i="12"/>
  <c r="F36" i="12" a="1"/>
  <c r="F36" i="12" s="1"/>
  <c r="L35" i="12" a="1"/>
  <c r="L35" i="12" s="1"/>
  <c r="I35" i="12"/>
  <c r="H35" i="12" a="1"/>
  <c r="H35" i="12"/>
  <c r="G35" i="12" a="1"/>
  <c r="G35" i="12"/>
  <c r="F35" i="12" a="1"/>
  <c r="F35" i="12"/>
  <c r="M34" i="12" a="1"/>
  <c r="M34" i="12" s="1"/>
  <c r="K34" i="12" a="1"/>
  <c r="K34" i="12"/>
  <c r="I34" i="12"/>
  <c r="H34" i="12" a="1"/>
  <c r="H34" i="12"/>
  <c r="G34" i="12" a="1"/>
  <c r="G34" i="12" s="1"/>
  <c r="F34" i="12" a="1"/>
  <c r="F34" i="12"/>
  <c r="L33" i="12" a="1"/>
  <c r="L33" i="12" s="1"/>
  <c r="I33" i="12"/>
  <c r="H33" i="12" a="1"/>
  <c r="H33" i="12"/>
  <c r="G33" i="12" a="1"/>
  <c r="G33" i="12"/>
  <c r="F33" i="12" a="1"/>
  <c r="F33" i="12"/>
  <c r="I32" i="12"/>
  <c r="H32" i="12" a="1"/>
  <c r="H32" i="12" s="1"/>
  <c r="G32" i="12" a="1"/>
  <c r="G32" i="12"/>
  <c r="F32" i="12" a="1"/>
  <c r="F32" i="12" s="1"/>
  <c r="K31" i="12" a="1"/>
  <c r="K31" i="12"/>
  <c r="I31" i="12"/>
  <c r="H31" i="12" a="1"/>
  <c r="H31" i="12"/>
  <c r="G31" i="12" a="1"/>
  <c r="G31" i="12" s="1"/>
  <c r="F31" i="12" a="1"/>
  <c r="F31" i="12"/>
  <c r="I30" i="12"/>
  <c r="H30" i="12" a="1"/>
  <c r="H30" i="12"/>
  <c r="G30" i="12" a="1"/>
  <c r="G30" i="12" s="1"/>
  <c r="F30" i="12" a="1"/>
  <c r="F30" i="12" s="1"/>
  <c r="N29" i="12" a="1"/>
  <c r="N29" i="12" s="1"/>
  <c r="K29" i="12" a="1"/>
  <c r="K29" i="12" s="1"/>
  <c r="I29" i="12"/>
  <c r="H29" i="12" a="1"/>
  <c r="H29" i="12"/>
  <c r="G29" i="12" a="1"/>
  <c r="G29" i="12"/>
  <c r="F29" i="12" a="1"/>
  <c r="F29" i="12"/>
  <c r="I28" i="12"/>
  <c r="H28" i="12" a="1"/>
  <c r="H28" i="12" s="1"/>
  <c r="G28" i="12" a="1"/>
  <c r="G28" i="12"/>
  <c r="F28" i="12" a="1"/>
  <c r="F28" i="12" s="1"/>
  <c r="O27" i="12" a="1"/>
  <c r="O27" i="12" s="1"/>
  <c r="M27" i="12" a="1"/>
  <c r="M27" i="12" s="1"/>
  <c r="I27" i="12"/>
  <c r="H27" i="12" a="1"/>
  <c r="H27" i="12"/>
  <c r="G27" i="12" a="1"/>
  <c r="G27" i="12"/>
  <c r="F27" i="12" a="1"/>
  <c r="F27" i="12"/>
  <c r="L27" i="12" s="1" a="1"/>
  <c r="L27" i="12" s="1"/>
  <c r="I26" i="12"/>
  <c r="H26" i="12" a="1"/>
  <c r="H26" i="12" s="1"/>
  <c r="G26" i="12" a="1"/>
  <c r="G26" i="12" s="1"/>
  <c r="F26" i="12" a="1"/>
  <c r="F26" i="12"/>
  <c r="M25" i="12" a="1"/>
  <c r="M25" i="12" s="1"/>
  <c r="K25" i="12" a="1"/>
  <c r="K25" i="12" s="1"/>
  <c r="I25" i="12"/>
  <c r="H25" i="12" a="1"/>
  <c r="H25" i="12"/>
  <c r="G25" i="12" a="1"/>
  <c r="G25" i="12"/>
  <c r="F25" i="12" a="1"/>
  <c r="F25" i="12"/>
  <c r="O25" i="12" s="1" a="1"/>
  <c r="O25" i="12" s="1"/>
  <c r="N24" i="12" a="1"/>
  <c r="N24" i="12" s="1"/>
  <c r="L24" i="12" a="1"/>
  <c r="L24" i="12" s="1"/>
  <c r="I24" i="12"/>
  <c r="H24" i="12" a="1"/>
  <c r="H24" i="12" s="1"/>
  <c r="G24" i="12" a="1"/>
  <c r="G24" i="12" s="1"/>
  <c r="F24" i="12" a="1"/>
  <c r="F24" i="12" s="1"/>
  <c r="L23" i="12" a="1"/>
  <c r="L23" i="12" s="1"/>
  <c r="I23" i="12"/>
  <c r="H23" i="12" a="1"/>
  <c r="H23" i="12" s="1"/>
  <c r="G23" i="12" a="1"/>
  <c r="G23" i="12"/>
  <c r="F23" i="12" a="1"/>
  <c r="F23" i="12" s="1"/>
  <c r="N22" i="12" a="1"/>
  <c r="N22" i="12" s="1"/>
  <c r="L22" i="12" a="1"/>
  <c r="L22" i="12" s="1"/>
  <c r="I22" i="12"/>
  <c r="H22" i="12" a="1"/>
  <c r="H22" i="12"/>
  <c r="G22" i="12" a="1"/>
  <c r="G22" i="12"/>
  <c r="F22" i="12" a="1"/>
  <c r="F22" i="12"/>
  <c r="O22" i="12" s="1" a="1"/>
  <c r="O22" i="12" s="1"/>
  <c r="O21" i="12" a="1"/>
  <c r="O21" i="12"/>
  <c r="M21" i="12" a="1"/>
  <c r="M21" i="12" s="1"/>
  <c r="K21" i="12" a="1"/>
  <c r="K21" i="12"/>
  <c r="I21" i="12"/>
  <c r="H21" i="12" a="1"/>
  <c r="H21" i="12"/>
  <c r="G21" i="12" a="1"/>
  <c r="G21" i="12" s="1"/>
  <c r="F21" i="12" a="1"/>
  <c r="F21" i="12"/>
  <c r="I20" i="12"/>
  <c r="H20" i="12" a="1"/>
  <c r="H20" i="12" s="1"/>
  <c r="G20" i="12" a="1"/>
  <c r="G20" i="12"/>
  <c r="F20" i="12" a="1"/>
  <c r="F20" i="12" s="1"/>
  <c r="L19" i="12" a="1"/>
  <c r="L19" i="12" s="1"/>
  <c r="I19" i="12"/>
  <c r="H19" i="12" a="1"/>
  <c r="H19" i="12" s="1"/>
  <c r="G19" i="12" a="1"/>
  <c r="G19" i="12"/>
  <c r="F19" i="12" a="1"/>
  <c r="F19" i="12" s="1"/>
  <c r="O18" i="12"/>
  <c r="N18" i="12" a="1"/>
  <c r="N18" i="12" s="1"/>
  <c r="L18" i="12" a="1"/>
  <c r="L18" i="12" s="1"/>
  <c r="I18" i="12"/>
  <c r="H18" i="12" a="1"/>
  <c r="H18" i="12"/>
  <c r="G18" i="12" a="1"/>
  <c r="G18" i="12"/>
  <c r="F18" i="12" a="1"/>
  <c r="F18" i="12"/>
  <c r="O18" i="12" s="1" a="1"/>
  <c r="O17" i="12" a="1"/>
  <c r="O17" i="12"/>
  <c r="K17" i="12" a="1"/>
  <c r="K17" i="12" s="1"/>
  <c r="I17" i="12"/>
  <c r="H17" i="12" a="1"/>
  <c r="H17" i="12"/>
  <c r="G17" i="12" a="1"/>
  <c r="G17" i="12" s="1"/>
  <c r="F17" i="12" a="1"/>
  <c r="F17" i="12"/>
  <c r="O16" i="12" a="1"/>
  <c r="O16" i="12" s="1"/>
  <c r="K16" i="12" a="1"/>
  <c r="K16" i="12" s="1"/>
  <c r="I16" i="12"/>
  <c r="H16" i="12" a="1"/>
  <c r="H16" i="12"/>
  <c r="G16" i="12" a="1"/>
  <c r="G16" i="12"/>
  <c r="F16" i="12" a="1"/>
  <c r="F16" i="12"/>
  <c r="N15" i="12" a="1"/>
  <c r="N15" i="12"/>
  <c r="I15" i="12"/>
  <c r="H15" i="12" a="1"/>
  <c r="H15" i="12" s="1"/>
  <c r="G15" i="12" a="1"/>
  <c r="G15" i="12"/>
  <c r="F15" i="12" a="1"/>
  <c r="F15" i="12" s="1"/>
  <c r="N14" i="12" a="1"/>
  <c r="N14" i="12" s="1"/>
  <c r="L14" i="12" a="1"/>
  <c r="L14" i="12" s="1"/>
  <c r="I14" i="12"/>
  <c r="H14" i="12" a="1"/>
  <c r="H14" i="12"/>
  <c r="G14" i="12" a="1"/>
  <c r="G14" i="12" s="1"/>
  <c r="F14" i="12" a="1"/>
  <c r="F14" i="12"/>
  <c r="O14" i="12" s="1" a="1"/>
  <c r="O14" i="12" s="1"/>
  <c r="I13" i="12"/>
  <c r="H13" i="12" a="1"/>
  <c r="H13" i="12"/>
  <c r="G13" i="12" a="1"/>
  <c r="G13" i="12" s="1"/>
  <c r="F13" i="12" a="1"/>
  <c r="F13" i="12"/>
  <c r="O12" i="12" a="1"/>
  <c r="O12" i="12" s="1"/>
  <c r="K12" i="12" a="1"/>
  <c r="K12" i="12" s="1"/>
  <c r="I12" i="12"/>
  <c r="H12" i="12" a="1"/>
  <c r="H12" i="12"/>
  <c r="G12" i="12" a="1"/>
  <c r="G12" i="12"/>
  <c r="F12" i="12" a="1"/>
  <c r="F12" i="12"/>
  <c r="N11" i="12" a="1"/>
  <c r="N11" i="12" s="1"/>
  <c r="I11" i="12"/>
  <c r="H11" i="12" a="1"/>
  <c r="H11" i="12" s="1"/>
  <c r="G11" i="12" a="1"/>
  <c r="G11" i="12"/>
  <c r="F11" i="12" a="1"/>
  <c r="F11" i="12" s="1"/>
  <c r="N10" i="12" a="1"/>
  <c r="N10" i="12" s="1"/>
  <c r="L10" i="12" a="1"/>
  <c r="L10" i="12" s="1"/>
  <c r="I10" i="12"/>
  <c r="H10" i="12" a="1"/>
  <c r="H10" i="12"/>
  <c r="G10" i="12" a="1"/>
  <c r="G10" i="12"/>
  <c r="F10" i="12" a="1"/>
  <c r="F10" i="12"/>
  <c r="O10" i="12" s="1" a="1"/>
  <c r="O10" i="12" s="1"/>
  <c r="M9" i="12" a="1"/>
  <c r="M9" i="12" s="1"/>
  <c r="I9" i="12"/>
  <c r="H9" i="12" a="1"/>
  <c r="H9" i="12"/>
  <c r="G9" i="12" a="1"/>
  <c r="G9" i="12" s="1"/>
  <c r="F9" i="12" a="1"/>
  <c r="F9" i="12"/>
  <c r="M8" i="12" a="1"/>
  <c r="M8" i="12" s="1"/>
  <c r="I8" i="12"/>
  <c r="H8" i="12" a="1"/>
  <c r="H8" i="12"/>
  <c r="G8" i="12" a="1"/>
  <c r="G8" i="12"/>
  <c r="F8" i="12" a="1"/>
  <c r="F8" i="12"/>
  <c r="H6" i="12"/>
  <c r="M49" i="19" a="1"/>
  <c r="M49" i="19" s="1"/>
  <c r="J49" i="19"/>
  <c r="I49" i="19" a="1"/>
  <c r="I49" i="19"/>
  <c r="H49" i="19" a="1"/>
  <c r="H49" i="19" s="1"/>
  <c r="G49" i="19" a="1"/>
  <c r="G49" i="19"/>
  <c r="O49" i="19" s="1" a="1"/>
  <c r="O49" i="19" s="1"/>
  <c r="J48" i="19"/>
  <c r="I48" i="19" a="1"/>
  <c r="I48" i="19"/>
  <c r="H48" i="19" a="1"/>
  <c r="H48" i="19" s="1"/>
  <c r="G48" i="19" a="1"/>
  <c r="G48" i="19" s="1"/>
  <c r="J47" i="19"/>
  <c r="I47" i="19" a="1"/>
  <c r="I47" i="19"/>
  <c r="H47" i="19" a="1"/>
  <c r="H47" i="19"/>
  <c r="G47" i="19" a="1"/>
  <c r="G47" i="19"/>
  <c r="O47" i="19" s="1" a="1"/>
  <c r="O47" i="19" s="1"/>
  <c r="J46" i="19"/>
  <c r="I46" i="19" a="1"/>
  <c r="I46" i="19" s="1"/>
  <c r="H46" i="19" a="1"/>
  <c r="H46" i="19"/>
  <c r="G46" i="19" a="1"/>
  <c r="G46" i="19" s="1"/>
  <c r="O45" i="19" a="1"/>
  <c r="O45" i="19" s="1"/>
  <c r="J45" i="19"/>
  <c r="I45" i="19" a="1"/>
  <c r="I45" i="19"/>
  <c r="H45" i="19" a="1"/>
  <c r="H45" i="19" s="1"/>
  <c r="G45" i="19" a="1"/>
  <c r="G45" i="19"/>
  <c r="L45" i="19" s="1" a="1"/>
  <c r="L45" i="19" s="1"/>
  <c r="N44" i="19" a="1"/>
  <c r="N44" i="19"/>
  <c r="J44" i="19"/>
  <c r="I44" i="19" a="1"/>
  <c r="I44" i="19" s="1"/>
  <c r="H44" i="19" a="1"/>
  <c r="H44" i="19" s="1"/>
  <c r="G44" i="19" a="1"/>
  <c r="G44" i="19" s="1"/>
  <c r="P44" i="19" s="1" a="1"/>
  <c r="P44" i="19" s="1"/>
  <c r="J43" i="19"/>
  <c r="I43" i="19" a="1"/>
  <c r="I43" i="19" s="1"/>
  <c r="H43" i="19" a="1"/>
  <c r="H43" i="19" s="1"/>
  <c r="G43" i="19" a="1"/>
  <c r="G43" i="19" s="1"/>
  <c r="O43" i="19" s="1" a="1"/>
  <c r="O43" i="19" s="1"/>
  <c r="P42" i="19" a="1"/>
  <c r="P42" i="19" s="1"/>
  <c r="L42" i="19" a="1"/>
  <c r="L42" i="19" s="1"/>
  <c r="J42" i="19"/>
  <c r="I42" i="19" a="1"/>
  <c r="I42" i="19"/>
  <c r="H42" i="19" a="1"/>
  <c r="H42" i="19" s="1"/>
  <c r="G42" i="19" a="1"/>
  <c r="G42" i="19"/>
  <c r="N42" i="19" s="1" a="1"/>
  <c r="N42" i="19" s="1"/>
  <c r="J41" i="19"/>
  <c r="I41" i="19" a="1"/>
  <c r="I41" i="19"/>
  <c r="H41" i="19" a="1"/>
  <c r="H41" i="19" s="1"/>
  <c r="G41" i="19" a="1"/>
  <c r="G41" i="19" s="1"/>
  <c r="J40" i="19"/>
  <c r="I40" i="19" a="1"/>
  <c r="I40" i="19" s="1"/>
  <c r="H40" i="19" a="1"/>
  <c r="H40" i="19"/>
  <c r="G40" i="19" a="1"/>
  <c r="G40" i="19" s="1"/>
  <c r="O40" i="19" s="1" a="1"/>
  <c r="O40" i="19" s="1"/>
  <c r="M39" i="19" a="1"/>
  <c r="M39" i="19" s="1"/>
  <c r="J39" i="19"/>
  <c r="I39" i="19" a="1"/>
  <c r="I39" i="19" s="1"/>
  <c r="H39" i="19" a="1"/>
  <c r="H39" i="19"/>
  <c r="G39" i="19" a="1"/>
  <c r="G39" i="19" s="1"/>
  <c r="N38" i="19" a="1"/>
  <c r="N38" i="19" s="1"/>
  <c r="J38" i="19"/>
  <c r="I38" i="19" a="1"/>
  <c r="I38" i="19"/>
  <c r="H38" i="19" a="1"/>
  <c r="H38" i="19" s="1"/>
  <c r="G38" i="19" a="1"/>
  <c r="G38" i="19"/>
  <c r="P38" i="19" s="1" a="1"/>
  <c r="P38" i="19" s="1"/>
  <c r="J37" i="19"/>
  <c r="I37" i="19" a="1"/>
  <c r="I37" i="19" s="1"/>
  <c r="H37" i="19" a="1"/>
  <c r="H37" i="19" s="1"/>
  <c r="G37" i="19" a="1"/>
  <c r="G37" i="19"/>
  <c r="M36" i="19" a="1"/>
  <c r="M36" i="19"/>
  <c r="J36" i="19"/>
  <c r="I36" i="19" a="1"/>
  <c r="I36" i="19" s="1"/>
  <c r="H36" i="19" a="1"/>
  <c r="H36" i="19"/>
  <c r="G36" i="19" a="1"/>
  <c r="G36" i="19" s="1"/>
  <c r="J35" i="19"/>
  <c r="I35" i="19" a="1"/>
  <c r="I35" i="19" s="1"/>
  <c r="H35" i="19" a="1"/>
  <c r="H35" i="19" s="1"/>
  <c r="G35" i="19" a="1"/>
  <c r="G35" i="19" s="1"/>
  <c r="P34" i="19" a="1"/>
  <c r="P34" i="19" s="1"/>
  <c r="L34" i="19" a="1"/>
  <c r="L34" i="19" s="1"/>
  <c r="J34" i="19"/>
  <c r="I34" i="19" a="1"/>
  <c r="I34" i="19"/>
  <c r="H34" i="19" a="1"/>
  <c r="H34" i="19" s="1"/>
  <c r="G34" i="19" a="1"/>
  <c r="G34" i="19"/>
  <c r="N34" i="19" s="1" a="1"/>
  <c r="N34" i="19" s="1"/>
  <c r="P33" i="19" a="1"/>
  <c r="P33" i="19" s="1"/>
  <c r="J33" i="19"/>
  <c r="I33" i="19" a="1"/>
  <c r="I33" i="19"/>
  <c r="H33" i="19" a="1"/>
  <c r="H33" i="19" s="1"/>
  <c r="G33" i="19" a="1"/>
  <c r="G33" i="19" s="1"/>
  <c r="O32" i="19" a="1"/>
  <c r="O32" i="19" s="1"/>
  <c r="J32" i="19"/>
  <c r="I32" i="19" a="1"/>
  <c r="I32" i="19" s="1"/>
  <c r="H32" i="19" a="1"/>
  <c r="H32" i="19"/>
  <c r="G32" i="19" a="1"/>
  <c r="G32" i="19" s="1"/>
  <c r="M31" i="19" a="1"/>
  <c r="M31" i="19" s="1"/>
  <c r="J31" i="19"/>
  <c r="I31" i="19" a="1"/>
  <c r="I31" i="19" s="1"/>
  <c r="H31" i="19" a="1"/>
  <c r="H31" i="19" s="1"/>
  <c r="G31" i="19" a="1"/>
  <c r="G31" i="19" s="1"/>
  <c r="I29" i="19"/>
  <c r="P27" i="19" a="1"/>
  <c r="P27" i="19" s="1"/>
  <c r="O27" i="19" a="1"/>
  <c r="O27" i="19"/>
  <c r="N27" i="19" a="1"/>
  <c r="N27" i="19" s="1"/>
  <c r="M27" i="19" a="1"/>
  <c r="M27" i="19"/>
  <c r="L27" i="19" a="1"/>
  <c r="L27" i="19" s="1"/>
  <c r="J27" i="19"/>
  <c r="I27" i="19" a="1"/>
  <c r="I27" i="19" s="1"/>
  <c r="H27" i="19" a="1"/>
  <c r="H27" i="19" s="1"/>
  <c r="G27" i="19" a="1"/>
  <c r="G27" i="19"/>
  <c r="P26" i="19" a="1"/>
  <c r="P26" i="19" s="1"/>
  <c r="O26" i="19" a="1"/>
  <c r="O26" i="19" s="1"/>
  <c r="N26" i="19" a="1"/>
  <c r="N26" i="19" s="1"/>
  <c r="M26" i="19" a="1"/>
  <c r="M26" i="19" s="1"/>
  <c r="L26" i="19" a="1"/>
  <c r="L26" i="19" s="1"/>
  <c r="J26" i="19"/>
  <c r="I26" i="19" a="1"/>
  <c r="I26" i="19" s="1"/>
  <c r="H26" i="19" a="1"/>
  <c r="H26" i="19"/>
  <c r="G26" i="19" a="1"/>
  <c r="G26" i="19" s="1"/>
  <c r="P25" i="19" a="1"/>
  <c r="P25" i="19"/>
  <c r="O25" i="19" a="1"/>
  <c r="O25" i="19" s="1"/>
  <c r="N25" i="19" a="1"/>
  <c r="N25" i="19"/>
  <c r="M25" i="19" a="1"/>
  <c r="M25" i="19" s="1"/>
  <c r="L25" i="19" a="1"/>
  <c r="L25" i="19"/>
  <c r="J25" i="19"/>
  <c r="I25" i="19" a="1"/>
  <c r="I25" i="19" s="1"/>
  <c r="H25" i="19" a="1"/>
  <c r="H25" i="19"/>
  <c r="G25" i="19" a="1"/>
  <c r="G25" i="19" s="1"/>
  <c r="P24" i="19" a="1"/>
  <c r="P24" i="19" s="1"/>
  <c r="O24" i="19" a="1"/>
  <c r="O24" i="19" s="1"/>
  <c r="N24" i="19" a="1"/>
  <c r="N24" i="19" s="1"/>
  <c r="M24" i="19" a="1"/>
  <c r="M24" i="19" s="1"/>
  <c r="L24" i="19" a="1"/>
  <c r="L24" i="19" s="1"/>
  <c r="J24" i="19"/>
  <c r="I24" i="19" a="1"/>
  <c r="I24" i="19"/>
  <c r="H24" i="19" a="1"/>
  <c r="H24" i="19" s="1"/>
  <c r="G24" i="19" a="1"/>
  <c r="G24" i="19"/>
  <c r="P23" i="19" a="1"/>
  <c r="P23" i="19" s="1"/>
  <c r="O23" i="19" a="1"/>
  <c r="O23" i="19"/>
  <c r="N23" i="19" a="1"/>
  <c r="N23" i="19" s="1"/>
  <c r="M23" i="19" a="1"/>
  <c r="M23" i="19"/>
  <c r="L23" i="19" a="1"/>
  <c r="L23" i="19" s="1"/>
  <c r="J23" i="19"/>
  <c r="I23" i="19" a="1"/>
  <c r="I23" i="19" s="1"/>
  <c r="H23" i="19" a="1"/>
  <c r="H23" i="19" s="1"/>
  <c r="G23" i="19" a="1"/>
  <c r="G23" i="19"/>
  <c r="P22" i="19" a="1"/>
  <c r="P22" i="19" s="1"/>
  <c r="O22" i="19" a="1"/>
  <c r="O22" i="19" s="1"/>
  <c r="N22" i="19" a="1"/>
  <c r="N22" i="19" s="1"/>
  <c r="M22" i="19" a="1"/>
  <c r="M22" i="19" s="1"/>
  <c r="L22" i="19" a="1"/>
  <c r="L22" i="19" s="1"/>
  <c r="J22" i="19"/>
  <c r="I22" i="19" a="1"/>
  <c r="I22" i="19" s="1"/>
  <c r="H22" i="19" a="1"/>
  <c r="H22" i="19"/>
  <c r="G22" i="19" a="1"/>
  <c r="G22" i="19" s="1"/>
  <c r="P21" i="19" a="1"/>
  <c r="P21" i="19"/>
  <c r="O21" i="19" a="1"/>
  <c r="O21" i="19" s="1"/>
  <c r="N21" i="19" a="1"/>
  <c r="N21" i="19"/>
  <c r="M21" i="19" a="1"/>
  <c r="M21" i="19" s="1"/>
  <c r="L21" i="19" a="1"/>
  <c r="L21" i="19"/>
  <c r="J21" i="19"/>
  <c r="I21" i="19" a="1"/>
  <c r="I21" i="19" s="1"/>
  <c r="H21" i="19" a="1"/>
  <c r="H21" i="19"/>
  <c r="G21" i="19" a="1"/>
  <c r="G21" i="19" s="1"/>
  <c r="P20" i="19" a="1"/>
  <c r="P20" i="19" s="1"/>
  <c r="O20" i="19" a="1"/>
  <c r="O20" i="19" s="1"/>
  <c r="N20" i="19" a="1"/>
  <c r="N20" i="19" s="1"/>
  <c r="M20" i="19" a="1"/>
  <c r="M20" i="19" s="1"/>
  <c r="L20" i="19" a="1"/>
  <c r="L20" i="19" s="1"/>
  <c r="J20" i="19"/>
  <c r="I20" i="19" a="1"/>
  <c r="I20" i="19"/>
  <c r="H20" i="19" a="1"/>
  <c r="H20" i="19" s="1"/>
  <c r="G20" i="19" a="1"/>
  <c r="G20" i="19"/>
  <c r="P19" i="19" a="1"/>
  <c r="P19" i="19" s="1"/>
  <c r="O19" i="19" a="1"/>
  <c r="O19" i="19"/>
  <c r="N19" i="19" a="1"/>
  <c r="N19" i="19" s="1"/>
  <c r="M19" i="19" a="1"/>
  <c r="M19" i="19"/>
  <c r="L19" i="19" a="1"/>
  <c r="L19" i="19" s="1"/>
  <c r="J19" i="19"/>
  <c r="I19" i="19" a="1"/>
  <c r="I19" i="19" s="1"/>
  <c r="H19" i="19" a="1"/>
  <c r="H19" i="19" s="1"/>
  <c r="G19" i="19" a="1"/>
  <c r="G19" i="19"/>
  <c r="P18" i="19" a="1"/>
  <c r="P18" i="19" s="1"/>
  <c r="O18" i="19" a="1"/>
  <c r="O18" i="19" s="1"/>
  <c r="N18" i="19" a="1"/>
  <c r="N18" i="19" s="1"/>
  <c r="M18" i="19" a="1"/>
  <c r="M18" i="19" s="1"/>
  <c r="L18" i="19" a="1"/>
  <c r="L18" i="19" s="1"/>
  <c r="J18" i="19"/>
  <c r="I18" i="19" a="1"/>
  <c r="I18" i="19" s="1"/>
  <c r="H18" i="19" a="1"/>
  <c r="H18" i="19"/>
  <c r="G18" i="19" a="1"/>
  <c r="G18" i="19" s="1"/>
  <c r="P17" i="19" a="1"/>
  <c r="P17" i="19"/>
  <c r="O17" i="19" a="1"/>
  <c r="O17" i="19" s="1"/>
  <c r="N17" i="19" a="1"/>
  <c r="N17" i="19"/>
  <c r="M17" i="19" a="1"/>
  <c r="M17" i="19" s="1"/>
  <c r="L17" i="19" a="1"/>
  <c r="L17" i="19"/>
  <c r="J17" i="19"/>
  <c r="I17" i="19" a="1"/>
  <c r="I17" i="19" s="1"/>
  <c r="H17" i="19" a="1"/>
  <c r="H17" i="19"/>
  <c r="G17" i="19" a="1"/>
  <c r="G17" i="19" s="1"/>
  <c r="P16" i="19" a="1"/>
  <c r="P16" i="19" s="1"/>
  <c r="O16" i="19" a="1"/>
  <c r="O16" i="19" s="1"/>
  <c r="N16" i="19" a="1"/>
  <c r="N16" i="19" s="1"/>
  <c r="M16" i="19" a="1"/>
  <c r="M16" i="19" s="1"/>
  <c r="L16" i="19" a="1"/>
  <c r="L16" i="19" s="1"/>
  <c r="J16" i="19"/>
  <c r="I16" i="19" a="1"/>
  <c r="I16" i="19"/>
  <c r="H16" i="19" a="1"/>
  <c r="H16" i="19" s="1"/>
  <c r="G16" i="19" a="1"/>
  <c r="G16" i="19"/>
  <c r="P15" i="19" a="1"/>
  <c r="P15" i="19" s="1"/>
  <c r="O15" i="19" a="1"/>
  <c r="O15" i="19"/>
  <c r="N15" i="19" a="1"/>
  <c r="N15" i="19" s="1"/>
  <c r="M15" i="19" a="1"/>
  <c r="M15" i="19"/>
  <c r="L15" i="19" a="1"/>
  <c r="L15" i="19" s="1"/>
  <c r="J15" i="19"/>
  <c r="I15" i="19" a="1"/>
  <c r="I15" i="19" s="1"/>
  <c r="H15" i="19" a="1"/>
  <c r="H15" i="19" s="1"/>
  <c r="G15" i="19" a="1"/>
  <c r="G15" i="19"/>
  <c r="P14" i="19" a="1"/>
  <c r="P14" i="19" s="1"/>
  <c r="O14" i="19" a="1"/>
  <c r="O14" i="19" s="1"/>
  <c r="N14" i="19" a="1"/>
  <c r="N14" i="19" s="1"/>
  <c r="M14" i="19" a="1"/>
  <c r="M14" i="19" s="1"/>
  <c r="L14" i="19" a="1"/>
  <c r="L14" i="19" s="1"/>
  <c r="J14" i="19"/>
  <c r="I14" i="19" a="1"/>
  <c r="I14" i="19" s="1"/>
  <c r="H14" i="19" a="1"/>
  <c r="H14" i="19"/>
  <c r="G14" i="19" a="1"/>
  <c r="G14" i="19" s="1"/>
  <c r="P13" i="19" a="1"/>
  <c r="P13" i="19"/>
  <c r="O13" i="19" a="1"/>
  <c r="O13" i="19" s="1"/>
  <c r="N13" i="19" a="1"/>
  <c r="N13" i="19"/>
  <c r="M13" i="19" a="1"/>
  <c r="M13" i="19" s="1"/>
  <c r="L13" i="19" a="1"/>
  <c r="L13" i="19"/>
  <c r="J13" i="19"/>
  <c r="I13" i="19" a="1"/>
  <c r="I13" i="19" s="1"/>
  <c r="H13" i="19" a="1"/>
  <c r="H13" i="19"/>
  <c r="G13" i="19" a="1"/>
  <c r="G13" i="19" s="1"/>
  <c r="P12" i="19" a="1"/>
  <c r="P12" i="19" s="1"/>
  <c r="O12" i="19" a="1"/>
  <c r="O12" i="19" s="1"/>
  <c r="N12" i="19" a="1"/>
  <c r="N12" i="19" s="1"/>
  <c r="M12" i="19" a="1"/>
  <c r="M12" i="19" s="1"/>
  <c r="L12" i="19" a="1"/>
  <c r="L12" i="19" s="1"/>
  <c r="J12" i="19"/>
  <c r="I12" i="19" a="1"/>
  <c r="I12" i="19"/>
  <c r="H12" i="19" a="1"/>
  <c r="H12" i="19" s="1"/>
  <c r="G12" i="19" a="1"/>
  <c r="G12" i="19"/>
  <c r="P11" i="19" a="1"/>
  <c r="P11" i="19" s="1"/>
  <c r="O11" i="19" a="1"/>
  <c r="O11" i="19"/>
  <c r="N11" i="19" a="1"/>
  <c r="N11" i="19" s="1"/>
  <c r="M11" i="19" a="1"/>
  <c r="M11" i="19"/>
  <c r="L11" i="19" a="1"/>
  <c r="L11" i="19" s="1"/>
  <c r="J11" i="19"/>
  <c r="I11" i="19" a="1"/>
  <c r="I11" i="19" s="1"/>
  <c r="H11" i="19" a="1"/>
  <c r="H11" i="19" s="1"/>
  <c r="G11" i="19" a="1"/>
  <c r="G11" i="19"/>
  <c r="P10" i="19" a="1"/>
  <c r="P10" i="19" s="1"/>
  <c r="O10" i="19" a="1"/>
  <c r="O10" i="19" s="1"/>
  <c r="N10" i="19" a="1"/>
  <c r="N10" i="19" s="1"/>
  <c r="M10" i="19" a="1"/>
  <c r="M10" i="19" s="1"/>
  <c r="L10" i="19" a="1"/>
  <c r="L10" i="19" s="1"/>
  <c r="J10" i="19"/>
  <c r="I10" i="19" a="1"/>
  <c r="I10" i="19" s="1"/>
  <c r="H10" i="19" a="1"/>
  <c r="H10" i="19"/>
  <c r="G10" i="19" a="1"/>
  <c r="G10" i="19" s="1"/>
  <c r="P9" i="19" a="1"/>
  <c r="P9" i="19"/>
  <c r="O9" i="19" a="1"/>
  <c r="O9" i="19" s="1"/>
  <c r="N9" i="19" a="1"/>
  <c r="N9" i="19"/>
  <c r="M9" i="19" a="1"/>
  <c r="M9" i="19" s="1"/>
  <c r="L9" i="19" a="1"/>
  <c r="L9" i="19"/>
  <c r="J9" i="19"/>
  <c r="I9" i="19" a="1"/>
  <c r="I9" i="19" s="1"/>
  <c r="H9" i="19" a="1"/>
  <c r="H9" i="19"/>
  <c r="G9" i="19" a="1"/>
  <c r="G9" i="19" s="1"/>
  <c r="P8" i="19" a="1"/>
  <c r="P8" i="19" s="1"/>
  <c r="O8" i="19" a="1"/>
  <c r="O8" i="19" s="1"/>
  <c r="N8" i="19" a="1"/>
  <c r="N8" i="19" s="1"/>
  <c r="M8" i="19" a="1"/>
  <c r="M8" i="19" s="1"/>
  <c r="L8" i="19" a="1"/>
  <c r="L8" i="19" s="1"/>
  <c r="J8" i="19"/>
  <c r="I8" i="19" a="1"/>
  <c r="I8" i="19"/>
  <c r="H8" i="19" a="1"/>
  <c r="H8" i="19" s="1"/>
  <c r="G8" i="19" a="1"/>
  <c r="G8" i="19"/>
  <c r="I6" i="19"/>
  <c r="P66" i="4" a="1"/>
  <c r="P66" i="4" s="1"/>
  <c r="O66" i="4" a="1"/>
  <c r="O66" i="4" s="1"/>
  <c r="N66" i="4" a="1"/>
  <c r="N66" i="4" s="1"/>
  <c r="M66" i="4" a="1"/>
  <c r="M66" i="4" s="1"/>
  <c r="L66" i="4" a="1"/>
  <c r="L66" i="4" s="1"/>
  <c r="J66" i="4"/>
  <c r="I66" i="4" a="1"/>
  <c r="I66" i="4" s="1"/>
  <c r="H66" i="4"/>
  <c r="G66" i="4" a="1"/>
  <c r="G66" i="4"/>
  <c r="P65" i="4" a="1"/>
  <c r="P65" i="4" s="1"/>
  <c r="O65" i="4" a="1"/>
  <c r="O65" i="4"/>
  <c r="N65" i="4" a="1"/>
  <c r="N65" i="4" s="1"/>
  <c r="M65" i="4" a="1"/>
  <c r="M65" i="4" s="1"/>
  <c r="L65" i="4" a="1"/>
  <c r="L65" i="4" s="1"/>
  <c r="J65" i="4"/>
  <c r="I65" i="4" a="1"/>
  <c r="I65" i="4" s="1"/>
  <c r="H65" i="4"/>
  <c r="G65" i="4" a="1"/>
  <c r="G65" i="4" s="1"/>
  <c r="P64" i="4" a="1"/>
  <c r="P64" i="4" s="1"/>
  <c r="O64" i="4" a="1"/>
  <c r="O64" i="4"/>
  <c r="N64" i="4" a="1"/>
  <c r="N64" i="4" s="1"/>
  <c r="M64" i="4" a="1"/>
  <c r="M64" i="4"/>
  <c r="L64" i="4" a="1"/>
  <c r="L64" i="4" s="1"/>
  <c r="J64" i="4"/>
  <c r="I64" i="4" a="1"/>
  <c r="I64" i="4"/>
  <c r="H64" i="4"/>
  <c r="G64" i="4" a="1"/>
  <c r="G64" i="4" s="1"/>
  <c r="P63" i="4" a="1"/>
  <c r="P63" i="4" s="1"/>
  <c r="O63" i="4" a="1"/>
  <c r="O63" i="4" s="1"/>
  <c r="N63" i="4" a="1"/>
  <c r="N63" i="4" s="1"/>
  <c r="M63" i="4" a="1"/>
  <c r="M63" i="4" s="1"/>
  <c r="L63" i="4" a="1"/>
  <c r="L63" i="4" s="1"/>
  <c r="J63" i="4"/>
  <c r="I63" i="4" a="1"/>
  <c r="I63" i="4" s="1"/>
  <c r="H63" i="4"/>
  <c r="G63" i="4" a="1"/>
  <c r="G63" i="4"/>
  <c r="P62" i="4" a="1"/>
  <c r="P62" i="4" s="1"/>
  <c r="O62" i="4" a="1"/>
  <c r="O62" i="4" s="1"/>
  <c r="N62" i="4" a="1"/>
  <c r="N62" i="4" s="1"/>
  <c r="M62" i="4" a="1"/>
  <c r="M62" i="4" s="1"/>
  <c r="L62" i="4" a="1"/>
  <c r="L62" i="4" s="1"/>
  <c r="J62" i="4"/>
  <c r="I62" i="4" a="1"/>
  <c r="I62" i="4" s="1"/>
  <c r="H62" i="4"/>
  <c r="G62" i="4" a="1"/>
  <c r="G62" i="4"/>
  <c r="P61" i="4" a="1"/>
  <c r="P61" i="4" s="1"/>
  <c r="O61" i="4" a="1"/>
  <c r="O61" i="4"/>
  <c r="N61" i="4" a="1"/>
  <c r="N61" i="4" s="1"/>
  <c r="M61" i="4" a="1"/>
  <c r="M61" i="4" s="1"/>
  <c r="L61" i="4" a="1"/>
  <c r="L61" i="4" s="1"/>
  <c r="J61" i="4"/>
  <c r="I61" i="4" a="1"/>
  <c r="I61" i="4" s="1"/>
  <c r="H61" i="4"/>
  <c r="G61" i="4" a="1"/>
  <c r="G61" i="4" s="1"/>
  <c r="P60" i="4" a="1"/>
  <c r="P60" i="4" s="1"/>
  <c r="O60" i="4" a="1"/>
  <c r="O60" i="4"/>
  <c r="N60" i="4" a="1"/>
  <c r="N60" i="4" s="1"/>
  <c r="M60" i="4" a="1"/>
  <c r="M60" i="4"/>
  <c r="L60" i="4" a="1"/>
  <c r="L60" i="4" s="1"/>
  <c r="J60" i="4"/>
  <c r="I60" i="4" a="1"/>
  <c r="I60" i="4"/>
  <c r="H60" i="4"/>
  <c r="G60" i="4" a="1"/>
  <c r="G60" i="4" s="1"/>
  <c r="P59" i="4" a="1"/>
  <c r="P59" i="4" s="1"/>
  <c r="O59" i="4" a="1"/>
  <c r="O59" i="4" s="1"/>
  <c r="N59" i="4" a="1"/>
  <c r="N59" i="4" s="1"/>
  <c r="M59" i="4" a="1"/>
  <c r="M59" i="4" s="1"/>
  <c r="L59" i="4" a="1"/>
  <c r="L59" i="4" s="1"/>
  <c r="J59" i="4"/>
  <c r="I59" i="4" a="1"/>
  <c r="I59" i="4" s="1"/>
  <c r="H59" i="4"/>
  <c r="G59" i="4" a="1"/>
  <c r="G59" i="4"/>
  <c r="P58" i="4" a="1"/>
  <c r="P58" i="4" s="1"/>
  <c r="O58" i="4" a="1"/>
  <c r="O58" i="4" s="1"/>
  <c r="N58" i="4" a="1"/>
  <c r="N58" i="4" s="1"/>
  <c r="M58" i="4" a="1"/>
  <c r="M58" i="4" s="1"/>
  <c r="L58" i="4" a="1"/>
  <c r="L58" i="4" s="1"/>
  <c r="J58" i="4"/>
  <c r="I58" i="4" a="1"/>
  <c r="I58" i="4" s="1"/>
  <c r="H58" i="4"/>
  <c r="G58" i="4" a="1"/>
  <c r="G58" i="4"/>
  <c r="P57" i="4" a="1"/>
  <c r="P57" i="4" s="1"/>
  <c r="O57" i="4" a="1"/>
  <c r="O57" i="4"/>
  <c r="N57" i="4" a="1"/>
  <c r="N57" i="4" s="1"/>
  <c r="M57" i="4" a="1"/>
  <c r="M57" i="4" s="1"/>
  <c r="L57" i="4" a="1"/>
  <c r="L57" i="4" s="1"/>
  <c r="J57" i="4"/>
  <c r="I57" i="4" a="1"/>
  <c r="I57" i="4" s="1"/>
  <c r="H57" i="4"/>
  <c r="G57" i="4" a="1"/>
  <c r="G57" i="4" s="1"/>
  <c r="P56" i="4" a="1"/>
  <c r="P56" i="4" s="1"/>
  <c r="O56" i="4" a="1"/>
  <c r="O56" i="4"/>
  <c r="N56" i="4" a="1"/>
  <c r="N56" i="4" s="1"/>
  <c r="M56" i="4" a="1"/>
  <c r="M56" i="4"/>
  <c r="L56" i="4" a="1"/>
  <c r="L56" i="4" s="1"/>
  <c r="J56" i="4"/>
  <c r="I56" i="4" a="1"/>
  <c r="I56" i="4"/>
  <c r="H56" i="4"/>
  <c r="G56" i="4" a="1"/>
  <c r="G56" i="4" s="1"/>
  <c r="I54" i="4"/>
  <c r="P52" i="4" a="1"/>
  <c r="P52" i="4"/>
  <c r="O52" i="4" a="1"/>
  <c r="O52" i="4"/>
  <c r="N52" i="4" a="1"/>
  <c r="N52" i="4"/>
  <c r="M52" i="4" a="1"/>
  <c r="M52" i="4"/>
  <c r="L52" i="4" a="1"/>
  <c r="L52" i="4"/>
  <c r="J52" i="4"/>
  <c r="I52" i="4" a="1"/>
  <c r="I52" i="4" s="1"/>
  <c r="H52" i="4"/>
  <c r="G52" i="4" a="1"/>
  <c r="G52" i="4" s="1"/>
  <c r="P51" i="4" a="1"/>
  <c r="P51" i="4"/>
  <c r="O51" i="4" a="1"/>
  <c r="O51" i="4" s="1"/>
  <c r="N51" i="4" a="1"/>
  <c r="N51" i="4"/>
  <c r="M51" i="4" a="1"/>
  <c r="M51" i="4" s="1"/>
  <c r="L51" i="4" a="1"/>
  <c r="L51" i="4"/>
  <c r="J51" i="4"/>
  <c r="I51" i="4" a="1"/>
  <c r="I51" i="4" s="1"/>
  <c r="H51" i="4"/>
  <c r="G51" i="4" a="1"/>
  <c r="G51" i="4" s="1"/>
  <c r="P50" i="4" a="1"/>
  <c r="P50" i="4"/>
  <c r="O50" i="4" a="1"/>
  <c r="O50" i="4" s="1"/>
  <c r="N50" i="4" a="1"/>
  <c r="N50" i="4"/>
  <c r="M50" i="4" a="1"/>
  <c r="M50" i="4" s="1"/>
  <c r="L50" i="4" a="1"/>
  <c r="L50" i="4"/>
  <c r="J50" i="4"/>
  <c r="I50" i="4" a="1"/>
  <c r="I50" i="4" s="1"/>
  <c r="H50" i="4"/>
  <c r="G50" i="4" a="1"/>
  <c r="G50" i="4"/>
  <c r="P49" i="4" a="1"/>
  <c r="P49" i="4"/>
  <c r="O49" i="4" a="1"/>
  <c r="O49" i="4"/>
  <c r="N49" i="4" a="1"/>
  <c r="N49" i="4"/>
  <c r="M49" i="4" a="1"/>
  <c r="M49" i="4"/>
  <c r="L49" i="4" a="1"/>
  <c r="L49" i="4"/>
  <c r="J49" i="4"/>
  <c r="I49" i="4" a="1"/>
  <c r="I49" i="4" s="1"/>
  <c r="H49" i="4"/>
  <c r="G49" i="4" a="1"/>
  <c r="G49" i="4"/>
  <c r="P48" i="4" a="1"/>
  <c r="P48" i="4" s="1"/>
  <c r="O48" i="4" a="1"/>
  <c r="O48" i="4"/>
  <c r="N48" i="4" a="1"/>
  <c r="N48" i="4" s="1"/>
  <c r="M48" i="4" a="1"/>
  <c r="M48" i="4"/>
  <c r="L48" i="4" a="1"/>
  <c r="L48" i="4" s="1"/>
  <c r="J48" i="4"/>
  <c r="I48" i="4" a="1"/>
  <c r="I48" i="4" s="1"/>
  <c r="G48" i="4" a="1"/>
  <c r="G48" i="4" s="1"/>
  <c r="P47" i="4" a="1"/>
  <c r="P47" i="4"/>
  <c r="O47" i="4" a="1"/>
  <c r="O47" i="4" s="1"/>
  <c r="N47" i="4" a="1"/>
  <c r="N47" i="4"/>
  <c r="M47" i="4" a="1"/>
  <c r="M47" i="4" s="1"/>
  <c r="L47" i="4" a="1"/>
  <c r="L47" i="4"/>
  <c r="J47" i="4"/>
  <c r="I47" i="4" a="1"/>
  <c r="I47" i="4"/>
  <c r="H47" i="4"/>
  <c r="G47" i="4" a="1"/>
  <c r="G47" i="4" s="1"/>
  <c r="P46" i="4" a="1"/>
  <c r="P46" i="4" s="1"/>
  <c r="O46" i="4" a="1"/>
  <c r="O46" i="4" s="1"/>
  <c r="N46" i="4" a="1"/>
  <c r="N46" i="4"/>
  <c r="M46" i="4" a="1"/>
  <c r="M46" i="4" s="1"/>
  <c r="L46" i="4" a="1"/>
  <c r="L46" i="4"/>
  <c r="J46" i="4"/>
  <c r="I46" i="4" a="1"/>
  <c r="I46" i="4"/>
  <c r="H46" i="4"/>
  <c r="G46" i="4" a="1"/>
  <c r="G46" i="4" s="1"/>
  <c r="P45" i="4" a="1"/>
  <c r="P45" i="4"/>
  <c r="O45" i="4" a="1"/>
  <c r="O45" i="4" s="1"/>
  <c r="N45" i="4" a="1"/>
  <c r="N45" i="4" s="1"/>
  <c r="M45" i="4" a="1"/>
  <c r="M45" i="4" s="1"/>
  <c r="L45" i="4" a="1"/>
  <c r="L45" i="4"/>
  <c r="J45" i="4"/>
  <c r="I45" i="4" a="1"/>
  <c r="I45" i="4"/>
  <c r="H45" i="4"/>
  <c r="G45" i="4" a="1"/>
  <c r="G45" i="4" s="1"/>
  <c r="P44" i="4" a="1"/>
  <c r="P44" i="4"/>
  <c r="O44" i="4" a="1"/>
  <c r="O44" i="4" s="1"/>
  <c r="N44" i="4" a="1"/>
  <c r="N44" i="4"/>
  <c r="M44" i="4" a="1"/>
  <c r="M44" i="4" s="1"/>
  <c r="L44" i="4" a="1"/>
  <c r="L44" i="4" s="1"/>
  <c r="J44" i="4"/>
  <c r="I44" i="4" a="1"/>
  <c r="I44" i="4"/>
  <c r="H44" i="4"/>
  <c r="G44" i="4" a="1"/>
  <c r="G44" i="4" s="1"/>
  <c r="P43" i="4" a="1"/>
  <c r="P43" i="4"/>
  <c r="O43" i="4" a="1"/>
  <c r="O43" i="4" s="1"/>
  <c r="N43" i="4" a="1"/>
  <c r="N43" i="4"/>
  <c r="M43" i="4" a="1"/>
  <c r="M43" i="4" s="1"/>
  <c r="L43" i="4" a="1"/>
  <c r="L43" i="4"/>
  <c r="J43" i="4"/>
  <c r="I43" i="4" a="1"/>
  <c r="I43" i="4"/>
  <c r="H43" i="4"/>
  <c r="G43" i="4" a="1"/>
  <c r="G43" i="4" s="1"/>
  <c r="P42" i="4" a="1"/>
  <c r="P42" i="4" s="1"/>
  <c r="O42" i="4" a="1"/>
  <c r="O42" i="4" s="1"/>
  <c r="N42" i="4" a="1"/>
  <c r="N42" i="4"/>
  <c r="M42" i="4" a="1"/>
  <c r="M42" i="4" s="1"/>
  <c r="L42" i="4" a="1"/>
  <c r="L42" i="4"/>
  <c r="J42" i="4"/>
  <c r="I42" i="4" a="1"/>
  <c r="I42" i="4"/>
  <c r="H42" i="4"/>
  <c r="G42" i="4" a="1"/>
  <c r="G42" i="4" s="1"/>
  <c r="I40" i="4"/>
  <c r="P37" i="4" a="1"/>
  <c r="P37" i="4" s="1"/>
  <c r="O37" i="4" a="1"/>
  <c r="O37" i="4"/>
  <c r="N37" i="4" a="1"/>
  <c r="N37" i="4" s="1"/>
  <c r="M37" i="4" a="1"/>
  <c r="M37" i="4"/>
  <c r="L37" i="4" a="1"/>
  <c r="L37" i="4" s="1"/>
  <c r="J37" i="4"/>
  <c r="I37" i="4" a="1"/>
  <c r="I37" i="4"/>
  <c r="H37" i="4"/>
  <c r="G37" i="4" a="1"/>
  <c r="G37" i="4"/>
  <c r="P36" i="4" a="1"/>
  <c r="P36" i="4" s="1"/>
  <c r="O36" i="4" a="1"/>
  <c r="O36" i="4"/>
  <c r="N36" i="4" a="1"/>
  <c r="N36" i="4" s="1"/>
  <c r="M36" i="4" a="1"/>
  <c r="M36" i="4"/>
  <c r="L36" i="4" a="1"/>
  <c r="L36" i="4" s="1"/>
  <c r="J36" i="4"/>
  <c r="I36" i="4" a="1"/>
  <c r="I36" i="4"/>
  <c r="H36" i="4"/>
  <c r="G36" i="4" a="1"/>
  <c r="G36" i="4"/>
  <c r="P35" i="4" a="1"/>
  <c r="P35" i="4" s="1"/>
  <c r="O35" i="4" a="1"/>
  <c r="O35" i="4"/>
  <c r="N35" i="4" a="1"/>
  <c r="N35" i="4" s="1"/>
  <c r="M35" i="4" a="1"/>
  <c r="M35" i="4"/>
  <c r="L35" i="4" a="1"/>
  <c r="L35" i="4" s="1"/>
  <c r="J35" i="4"/>
  <c r="I35" i="4" a="1"/>
  <c r="I35" i="4" s="1"/>
  <c r="H35" i="4"/>
  <c r="G35" i="4" a="1"/>
  <c r="G35" i="4"/>
  <c r="P34" i="4" a="1"/>
  <c r="P34" i="4" s="1"/>
  <c r="O34" i="4" a="1"/>
  <c r="O34" i="4"/>
  <c r="N34" i="4" a="1"/>
  <c r="N34" i="4" s="1"/>
  <c r="M34" i="4" a="1"/>
  <c r="M34" i="4"/>
  <c r="L34" i="4" a="1"/>
  <c r="L34" i="4" s="1"/>
  <c r="J34" i="4"/>
  <c r="I34" i="4" a="1"/>
  <c r="I34" i="4"/>
  <c r="H34" i="4"/>
  <c r="G34" i="4" a="1"/>
  <c r="G34" i="4"/>
  <c r="P33" i="4" a="1"/>
  <c r="P33" i="4" s="1"/>
  <c r="O33" i="4" a="1"/>
  <c r="O33" i="4"/>
  <c r="N33" i="4" a="1"/>
  <c r="N33" i="4" s="1"/>
  <c r="M33" i="4" a="1"/>
  <c r="M33" i="4"/>
  <c r="L33" i="4" a="1"/>
  <c r="L33" i="4" s="1"/>
  <c r="J33" i="4"/>
  <c r="I33" i="4" a="1"/>
  <c r="I33" i="4"/>
  <c r="H33" i="4"/>
  <c r="G33" i="4" a="1"/>
  <c r="G33" i="4"/>
  <c r="P32" i="4" a="1"/>
  <c r="P32" i="4" s="1"/>
  <c r="O32" i="4" a="1"/>
  <c r="O32" i="4"/>
  <c r="N32" i="4" a="1"/>
  <c r="N32" i="4" s="1"/>
  <c r="M32" i="4" a="1"/>
  <c r="M32" i="4"/>
  <c r="L32" i="4" a="1"/>
  <c r="L32" i="4" s="1"/>
  <c r="J32" i="4"/>
  <c r="I32" i="4" a="1"/>
  <c r="I32" i="4"/>
  <c r="H32" i="4"/>
  <c r="G32" i="4" a="1"/>
  <c r="G32" i="4"/>
  <c r="P31" i="4" a="1"/>
  <c r="P31" i="4" s="1"/>
  <c r="O31" i="4" a="1"/>
  <c r="O31" i="4"/>
  <c r="N31" i="4" a="1"/>
  <c r="N31" i="4" s="1"/>
  <c r="M31" i="4" a="1"/>
  <c r="M31" i="4"/>
  <c r="L31" i="4" a="1"/>
  <c r="L31" i="4" s="1"/>
  <c r="J31" i="4"/>
  <c r="I31" i="4" a="1"/>
  <c r="I31" i="4" s="1"/>
  <c r="H31" i="4"/>
  <c r="G31" i="4" a="1"/>
  <c r="G31" i="4"/>
  <c r="P30" i="4" a="1"/>
  <c r="P30" i="4" s="1"/>
  <c r="O30" i="4" a="1"/>
  <c r="O30" i="4"/>
  <c r="N30" i="4" a="1"/>
  <c r="N30" i="4" s="1"/>
  <c r="M30" i="4" a="1"/>
  <c r="M30" i="4"/>
  <c r="L30" i="4" a="1"/>
  <c r="L30" i="4" s="1"/>
  <c r="J30" i="4"/>
  <c r="I30" i="4" a="1"/>
  <c r="I30" i="4"/>
  <c r="H30" i="4"/>
  <c r="G30" i="4" a="1"/>
  <c r="G30" i="4"/>
  <c r="P29" i="4" a="1"/>
  <c r="P29" i="4" s="1"/>
  <c r="O29" i="4" a="1"/>
  <c r="O29" i="4"/>
  <c r="N29" i="4" a="1"/>
  <c r="N29" i="4" s="1"/>
  <c r="M29" i="4" a="1"/>
  <c r="M29" i="4"/>
  <c r="L29" i="4" a="1"/>
  <c r="L29" i="4" s="1"/>
  <c r="J29" i="4"/>
  <c r="I29" i="4" a="1"/>
  <c r="I29" i="4"/>
  <c r="H29" i="4"/>
  <c r="G29" i="4" a="1"/>
  <c r="G29" i="4"/>
  <c r="P28" i="4" a="1"/>
  <c r="P28" i="4" s="1"/>
  <c r="O28" i="4" a="1"/>
  <c r="O28" i="4"/>
  <c r="N28" i="4" a="1"/>
  <c r="N28" i="4" s="1"/>
  <c r="M28" i="4" a="1"/>
  <c r="M28" i="4"/>
  <c r="L28" i="4" a="1"/>
  <c r="L28" i="4" s="1"/>
  <c r="J28" i="4"/>
  <c r="I28" i="4" a="1"/>
  <c r="I28" i="4"/>
  <c r="H28" i="4"/>
  <c r="G28" i="4" a="1"/>
  <c r="G28" i="4"/>
  <c r="P27" i="4" a="1"/>
  <c r="P27" i="4" s="1"/>
  <c r="O27" i="4" a="1"/>
  <c r="O27" i="4"/>
  <c r="N27" i="4" a="1"/>
  <c r="N27" i="4" s="1"/>
  <c r="M27" i="4" a="1"/>
  <c r="M27" i="4"/>
  <c r="L27" i="4" a="1"/>
  <c r="L27" i="4" s="1"/>
  <c r="J27" i="4"/>
  <c r="I27" i="4" a="1"/>
  <c r="I27" i="4" s="1"/>
  <c r="H27" i="4"/>
  <c r="G27" i="4" a="1"/>
  <c r="G27" i="4"/>
  <c r="P26" i="4" a="1"/>
  <c r="P26" i="4" s="1"/>
  <c r="O26" i="4" a="1"/>
  <c r="O26" i="4"/>
  <c r="N26" i="4" a="1"/>
  <c r="N26" i="4" s="1"/>
  <c r="M26" i="4" a="1"/>
  <c r="M26" i="4"/>
  <c r="L26" i="4" a="1"/>
  <c r="L26" i="4" s="1"/>
  <c r="J26" i="4"/>
  <c r="I26" i="4" a="1"/>
  <c r="I26" i="4"/>
  <c r="H26" i="4"/>
  <c r="G26" i="4" a="1"/>
  <c r="G26" i="4"/>
  <c r="P25" i="4" a="1"/>
  <c r="P25" i="4" s="1"/>
  <c r="O25" i="4" a="1"/>
  <c r="O25" i="4"/>
  <c r="N25" i="4" a="1"/>
  <c r="N25" i="4" s="1"/>
  <c r="M25" i="4" a="1"/>
  <c r="M25" i="4"/>
  <c r="L25" i="4" a="1"/>
  <c r="L25" i="4" s="1"/>
  <c r="J25" i="4"/>
  <c r="I25" i="4" a="1"/>
  <c r="I25" i="4"/>
  <c r="H25" i="4"/>
  <c r="G25" i="4" a="1"/>
  <c r="G25" i="4"/>
  <c r="P24" i="4" a="1"/>
  <c r="P24" i="4" s="1"/>
  <c r="O24" i="4" a="1"/>
  <c r="O24" i="4"/>
  <c r="N24" i="4" a="1"/>
  <c r="N24" i="4" s="1"/>
  <c r="M24" i="4" a="1"/>
  <c r="M24" i="4"/>
  <c r="L24" i="4" a="1"/>
  <c r="L24" i="4" s="1"/>
  <c r="J24" i="4"/>
  <c r="I24" i="4" a="1"/>
  <c r="I24" i="4"/>
  <c r="H24" i="4"/>
  <c r="G24" i="4" a="1"/>
  <c r="G24" i="4"/>
  <c r="P23" i="4" a="1"/>
  <c r="P23" i="4" s="1"/>
  <c r="O23" i="4" a="1"/>
  <c r="O23" i="4"/>
  <c r="N23" i="4" a="1"/>
  <c r="N23" i="4" s="1"/>
  <c r="M23" i="4" a="1"/>
  <c r="M23" i="4"/>
  <c r="L23" i="4" a="1"/>
  <c r="L23" i="4" s="1"/>
  <c r="J23" i="4"/>
  <c r="I23" i="4" a="1"/>
  <c r="I23" i="4" s="1"/>
  <c r="H23" i="4"/>
  <c r="G23" i="4" a="1"/>
  <c r="G23" i="4"/>
  <c r="P22" i="4" a="1"/>
  <c r="P22" i="4" s="1"/>
  <c r="O22" i="4" a="1"/>
  <c r="O22" i="4"/>
  <c r="N22" i="4" a="1"/>
  <c r="N22" i="4" s="1"/>
  <c r="M22" i="4" a="1"/>
  <c r="M22" i="4"/>
  <c r="L22" i="4" a="1"/>
  <c r="L22" i="4" s="1"/>
  <c r="J22" i="4"/>
  <c r="I22" i="4" a="1"/>
  <c r="I22" i="4"/>
  <c r="H22" i="4"/>
  <c r="G22" i="4" a="1"/>
  <c r="G22" i="4"/>
  <c r="P21" i="4" a="1"/>
  <c r="P21" i="4" s="1"/>
  <c r="O21" i="4" a="1"/>
  <c r="O21" i="4"/>
  <c r="N21" i="4" a="1"/>
  <c r="N21" i="4" s="1"/>
  <c r="M21" i="4" a="1"/>
  <c r="M21" i="4"/>
  <c r="L21" i="4" a="1"/>
  <c r="L21" i="4" s="1"/>
  <c r="J21" i="4"/>
  <c r="I21" i="4" a="1"/>
  <c r="I21" i="4"/>
  <c r="H21" i="4"/>
  <c r="G21" i="4" a="1"/>
  <c r="G21" i="4"/>
  <c r="P20" i="4" a="1"/>
  <c r="P20" i="4" s="1"/>
  <c r="O20" i="4" a="1"/>
  <c r="O20" i="4"/>
  <c r="N20" i="4" a="1"/>
  <c r="N20" i="4" s="1"/>
  <c r="M20" i="4" a="1"/>
  <c r="M20" i="4"/>
  <c r="L20" i="4" a="1"/>
  <c r="L20" i="4" s="1"/>
  <c r="J20" i="4"/>
  <c r="I20" i="4" a="1"/>
  <c r="I20" i="4"/>
  <c r="H20" i="4"/>
  <c r="G20" i="4" a="1"/>
  <c r="G20" i="4"/>
  <c r="P19" i="4" a="1"/>
  <c r="P19" i="4" s="1"/>
  <c r="O19" i="4" a="1"/>
  <c r="O19" i="4"/>
  <c r="N19" i="4" a="1"/>
  <c r="N19" i="4" s="1"/>
  <c r="M19" i="4" a="1"/>
  <c r="M19" i="4"/>
  <c r="L19" i="4" a="1"/>
  <c r="L19" i="4" s="1"/>
  <c r="J19" i="4"/>
  <c r="I19" i="4" a="1"/>
  <c r="I19" i="4" s="1"/>
  <c r="H19" i="4"/>
  <c r="G19" i="4" a="1"/>
  <c r="G19" i="4"/>
  <c r="P18" i="4" a="1"/>
  <c r="P18" i="4" s="1"/>
  <c r="O18" i="4" a="1"/>
  <c r="O18" i="4"/>
  <c r="N18" i="4" a="1"/>
  <c r="N18" i="4" s="1"/>
  <c r="M18" i="4" a="1"/>
  <c r="M18" i="4"/>
  <c r="L18" i="4" a="1"/>
  <c r="L18" i="4" s="1"/>
  <c r="J18" i="4"/>
  <c r="I18" i="4" a="1"/>
  <c r="I18" i="4"/>
  <c r="H18" i="4"/>
  <c r="G18" i="4" a="1"/>
  <c r="G18" i="4"/>
  <c r="P17" i="4" a="1"/>
  <c r="P17" i="4" s="1"/>
  <c r="O17" i="4" a="1"/>
  <c r="O17" i="4"/>
  <c r="N17" i="4" a="1"/>
  <c r="N17" i="4" s="1"/>
  <c r="M17" i="4" a="1"/>
  <c r="M17" i="4"/>
  <c r="L17" i="4" a="1"/>
  <c r="L17" i="4" s="1"/>
  <c r="J17" i="4"/>
  <c r="I17" i="4" a="1"/>
  <c r="I17" i="4"/>
  <c r="H17" i="4"/>
  <c r="G17" i="4" a="1"/>
  <c r="G17" i="4"/>
  <c r="P16" i="4" a="1"/>
  <c r="P16" i="4" s="1"/>
  <c r="O16" i="4" a="1"/>
  <c r="O16" i="4"/>
  <c r="N16" i="4" a="1"/>
  <c r="N16" i="4" s="1"/>
  <c r="M16" i="4" a="1"/>
  <c r="M16" i="4"/>
  <c r="L16" i="4" a="1"/>
  <c r="L16" i="4" s="1"/>
  <c r="J16" i="4"/>
  <c r="I16" i="4" a="1"/>
  <c r="I16" i="4"/>
  <c r="H16" i="4"/>
  <c r="G16" i="4" a="1"/>
  <c r="G16" i="4"/>
  <c r="P15" i="4" a="1"/>
  <c r="P15" i="4" s="1"/>
  <c r="O15" i="4" a="1"/>
  <c r="O15" i="4"/>
  <c r="N15" i="4" a="1"/>
  <c r="N15" i="4" s="1"/>
  <c r="M15" i="4" a="1"/>
  <c r="M15" i="4"/>
  <c r="L15" i="4" a="1"/>
  <c r="L15" i="4" s="1"/>
  <c r="J15" i="4"/>
  <c r="I15" i="4" a="1"/>
  <c r="I15" i="4" s="1"/>
  <c r="H15" i="4"/>
  <c r="G15" i="4" a="1"/>
  <c r="G15" i="4"/>
  <c r="P14" i="4" a="1"/>
  <c r="P14" i="4" s="1"/>
  <c r="O14" i="4" a="1"/>
  <c r="O14" i="4"/>
  <c r="N14" i="4" a="1"/>
  <c r="N14" i="4" s="1"/>
  <c r="M14" i="4" a="1"/>
  <c r="M14" i="4"/>
  <c r="L14" i="4" a="1"/>
  <c r="L14" i="4" s="1"/>
  <c r="J14" i="4"/>
  <c r="I14" i="4" a="1"/>
  <c r="I14" i="4"/>
  <c r="H14" i="4"/>
  <c r="G14" i="4" a="1"/>
  <c r="G14" i="4"/>
  <c r="P13" i="4" a="1"/>
  <c r="P13" i="4" s="1"/>
  <c r="O13" i="4" a="1"/>
  <c r="O13" i="4"/>
  <c r="N13" i="4" a="1"/>
  <c r="N13" i="4" s="1"/>
  <c r="M13" i="4" a="1"/>
  <c r="M13" i="4"/>
  <c r="L13" i="4" a="1"/>
  <c r="L13" i="4" s="1"/>
  <c r="J13" i="4"/>
  <c r="I13" i="4" a="1"/>
  <c r="I13" i="4"/>
  <c r="H13" i="4"/>
  <c r="G13" i="4" a="1"/>
  <c r="G13" i="4"/>
  <c r="P12" i="4" a="1"/>
  <c r="P12" i="4" s="1"/>
  <c r="O12" i="4" a="1"/>
  <c r="O12" i="4"/>
  <c r="N12" i="4" a="1"/>
  <c r="N12" i="4" s="1"/>
  <c r="M12" i="4" a="1"/>
  <c r="M12" i="4"/>
  <c r="L12" i="4" a="1"/>
  <c r="L12" i="4" s="1"/>
  <c r="J12" i="4"/>
  <c r="I12" i="4" a="1"/>
  <c r="I12" i="4"/>
  <c r="H12" i="4"/>
  <c r="G12" i="4" a="1"/>
  <c r="G12" i="4"/>
  <c r="P11" i="4" a="1"/>
  <c r="P11" i="4" s="1"/>
  <c r="O11" i="4" a="1"/>
  <c r="O11" i="4"/>
  <c r="N11" i="4" a="1"/>
  <c r="N11" i="4" s="1"/>
  <c r="M11" i="4" a="1"/>
  <c r="M11" i="4"/>
  <c r="L11" i="4" a="1"/>
  <c r="L11" i="4" s="1"/>
  <c r="J11" i="4"/>
  <c r="I11" i="4" a="1"/>
  <c r="I11" i="4" s="1"/>
  <c r="H11" i="4"/>
  <c r="G11" i="4" a="1"/>
  <c r="G11" i="4"/>
  <c r="P10" i="4" a="1"/>
  <c r="P10" i="4" s="1"/>
  <c r="O10" i="4" a="1"/>
  <c r="O10" i="4"/>
  <c r="N10" i="4" a="1"/>
  <c r="N10" i="4" s="1"/>
  <c r="M10" i="4" a="1"/>
  <c r="M10" i="4"/>
  <c r="L10" i="4" a="1"/>
  <c r="L10" i="4" s="1"/>
  <c r="J10" i="4"/>
  <c r="I10" i="4" a="1"/>
  <c r="I10" i="4"/>
  <c r="H10" i="4"/>
  <c r="G10" i="4" a="1"/>
  <c r="G10" i="4"/>
  <c r="P9" i="4" a="1"/>
  <c r="P9" i="4" s="1"/>
  <c r="O9" i="4" a="1"/>
  <c r="O9" i="4"/>
  <c r="N9" i="4" a="1"/>
  <c r="N9" i="4" s="1"/>
  <c r="M9" i="4" a="1"/>
  <c r="M9" i="4"/>
  <c r="L9" i="4" a="1"/>
  <c r="L9" i="4" s="1"/>
  <c r="J9" i="4"/>
  <c r="I9" i="4" a="1"/>
  <c r="I9" i="4"/>
  <c r="H9" i="4"/>
  <c r="G9" i="4" a="1"/>
  <c r="G9" i="4"/>
  <c r="P8" i="4" a="1"/>
  <c r="P8" i="4" s="1"/>
  <c r="O8" i="4" a="1"/>
  <c r="O8" i="4"/>
  <c r="N8" i="4" a="1"/>
  <c r="N8" i="4" s="1"/>
  <c r="M8" i="4" a="1"/>
  <c r="M8" i="4"/>
  <c r="L8" i="4" a="1"/>
  <c r="L8" i="4" s="1"/>
  <c r="J8" i="4"/>
  <c r="I8" i="4" a="1"/>
  <c r="I8" i="4"/>
  <c r="H8" i="4"/>
  <c r="G8" i="4" a="1"/>
  <c r="G8" i="4"/>
  <c r="I6" i="4"/>
  <c r="D69" i="18"/>
  <c r="C69" i="18"/>
  <c r="B69" i="18"/>
  <c r="C68" i="18"/>
  <c r="C67" i="18"/>
  <c r="D66" i="18"/>
  <c r="C66" i="18"/>
  <c r="D65" i="18"/>
  <c r="C65" i="18"/>
  <c r="D64" i="18"/>
  <c r="C64" i="18"/>
  <c r="F56" i="18"/>
  <c r="E56" i="18"/>
  <c r="B56" i="18"/>
  <c r="F55" i="18"/>
  <c r="E55" i="18"/>
  <c r="F54" i="18"/>
  <c r="E54" i="18"/>
  <c r="F53" i="18"/>
  <c r="E53" i="18"/>
  <c r="F52" i="18"/>
  <c r="E52" i="18"/>
  <c r="F51" i="18"/>
  <c r="E51" i="18"/>
  <c r="F50" i="18"/>
  <c r="E50" i="18"/>
  <c r="F49" i="18"/>
  <c r="E49" i="18"/>
  <c r="F48" i="18"/>
  <c r="E48" i="18"/>
  <c r="F47" i="18"/>
  <c r="E47" i="18"/>
  <c r="F46" i="18"/>
  <c r="E46" i="18"/>
  <c r="F45" i="18"/>
  <c r="E45" i="18"/>
  <c r="F44" i="18"/>
  <c r="E44" i="18"/>
  <c r="F43" i="18"/>
  <c r="E43" i="18"/>
  <c r="F42" i="18"/>
  <c r="E42" i="18"/>
  <c r="F41" i="18"/>
  <c r="E41" i="18"/>
  <c r="F40" i="18"/>
  <c r="E40" i="18"/>
  <c r="F39" i="18"/>
  <c r="E39" i="18"/>
  <c r="F38" i="18"/>
  <c r="E38" i="18"/>
  <c r="F37" i="18"/>
  <c r="E37" i="18"/>
  <c r="F36" i="18"/>
  <c r="E36" i="18"/>
  <c r="F30" i="18"/>
  <c r="E30" i="18"/>
  <c r="D30" i="18"/>
  <c r="C30" i="18"/>
  <c r="B30" i="18"/>
  <c r="F29" i="18"/>
  <c r="E29" i="18"/>
  <c r="D29" i="18"/>
  <c r="C29" i="18"/>
  <c r="F24" i="18"/>
  <c r="E24" i="18"/>
  <c r="D24" i="18"/>
  <c r="C24" i="18"/>
  <c r="F23" i="18"/>
  <c r="E23" i="18"/>
  <c r="D23" i="18"/>
  <c r="C23" i="18"/>
  <c r="F22" i="18"/>
  <c r="E22" i="18"/>
  <c r="D22" i="18"/>
  <c r="C22" i="18"/>
  <c r="F17" i="18"/>
  <c r="E17" i="18"/>
  <c r="D17" i="18"/>
  <c r="C17" i="18"/>
  <c r="F16" i="18"/>
  <c r="E16" i="18"/>
  <c r="D16" i="18"/>
  <c r="C16" i="18"/>
  <c r="F15" i="18"/>
  <c r="E15" i="18"/>
  <c r="D15" i="18"/>
  <c r="C15" i="18"/>
  <c r="B15" i="18"/>
  <c r="F9" i="18"/>
  <c r="E9" i="18"/>
  <c r="D9" i="18"/>
  <c r="C9" i="18"/>
  <c r="O41" i="19" l="1" a="1"/>
  <c r="O41" i="19" s="1"/>
  <c r="M41" i="19" a="1"/>
  <c r="M41" i="19" s="1"/>
  <c r="N41" i="19" a="1"/>
  <c r="N41" i="19" s="1"/>
  <c r="O33" i="19" a="1"/>
  <c r="O33" i="19" s="1"/>
  <c r="M33" i="19" a="1"/>
  <c r="M33" i="19" s="1"/>
  <c r="N33" i="19" a="1"/>
  <c r="N33" i="19" s="1"/>
  <c r="O37" i="19" a="1"/>
  <c r="O37" i="19" s="1"/>
  <c r="M37" i="19" a="1"/>
  <c r="M37" i="19" s="1"/>
  <c r="P37" i="19" a="1"/>
  <c r="P37" i="19" s="1"/>
  <c r="L37" i="19" a="1"/>
  <c r="L37" i="19" s="1"/>
  <c r="L41" i="19" a="1"/>
  <c r="L41" i="19" s="1"/>
  <c r="N8" i="12" a="1"/>
  <c r="N8" i="12" s="1"/>
  <c r="L8" i="12" a="1"/>
  <c r="L8" i="12" s="1"/>
  <c r="O8" i="12" a="1"/>
  <c r="O8" i="12" s="1"/>
  <c r="K8" i="12" a="1"/>
  <c r="K8" i="12" s="1"/>
  <c r="N13" i="12" a="1"/>
  <c r="N13" i="12" s="1"/>
  <c r="L13" i="12" a="1"/>
  <c r="L13" i="12" s="1"/>
  <c r="M13" i="12" a="1"/>
  <c r="M13" i="12" s="1"/>
  <c r="K13" i="12" a="1"/>
  <c r="K13" i="12" s="1"/>
  <c r="N20" i="12" a="1"/>
  <c r="N20" i="12" s="1"/>
  <c r="L20" i="12" a="1"/>
  <c r="L20" i="12" s="1"/>
  <c r="O20" i="12" a="1"/>
  <c r="O20" i="12" s="1"/>
  <c r="K20" i="12" a="1"/>
  <c r="K20" i="12" s="1"/>
  <c r="M20" i="12" a="1"/>
  <c r="M20" i="12" s="1"/>
  <c r="P32" i="19" a="1"/>
  <c r="P32" i="19" s="1"/>
  <c r="N32" i="19" a="1"/>
  <c r="N32" i="19" s="1"/>
  <c r="L32" i="19" a="1"/>
  <c r="L32" i="19" s="1"/>
  <c r="M32" i="19" a="1"/>
  <c r="M32" i="19" s="1"/>
  <c r="L33" i="19" a="1"/>
  <c r="L33" i="19" s="1"/>
  <c r="N37" i="19" a="1"/>
  <c r="N37" i="19" s="1"/>
  <c r="P41" i="19" a="1"/>
  <c r="P41" i="19" s="1"/>
  <c r="O48" i="19" a="1"/>
  <c r="O48" i="19" s="1"/>
  <c r="M48" i="19" a="1"/>
  <c r="M48" i="19" s="1"/>
  <c r="P48" i="19" a="1"/>
  <c r="P48" i="19" s="1"/>
  <c r="N48" i="19" a="1"/>
  <c r="N48" i="19" s="1"/>
  <c r="L48" i="19" a="1"/>
  <c r="L48" i="19" s="1"/>
  <c r="O13" i="12" a="1"/>
  <c r="O13" i="12" s="1"/>
  <c r="N30" i="12" a="1"/>
  <c r="N30" i="12" s="1"/>
  <c r="L30" i="12" a="1"/>
  <c r="L30" i="12" s="1"/>
  <c r="K30" i="12" a="1"/>
  <c r="K30" i="12" s="1"/>
  <c r="M30" i="12" a="1"/>
  <c r="M30" i="12" s="1"/>
  <c r="O30" i="12" a="1"/>
  <c r="O30" i="12" s="1"/>
  <c r="M35" i="12" a="1"/>
  <c r="M35" i="12" s="1"/>
  <c r="O35" i="12" a="1"/>
  <c r="O35" i="12" s="1"/>
  <c r="N35" i="12" a="1"/>
  <c r="N35" i="12" s="1"/>
  <c r="K35" i="12" a="1"/>
  <c r="K35" i="12" s="1"/>
  <c r="N9" i="12" a="1"/>
  <c r="N9" i="12" s="1"/>
  <c r="L9" i="12" a="1"/>
  <c r="L9" i="12" s="1"/>
  <c r="O9" i="12" a="1"/>
  <c r="O9" i="12" s="1"/>
  <c r="K9" i="12" a="1"/>
  <c r="K9" i="12" s="1"/>
  <c r="K33" i="12" a="1"/>
  <c r="K33" i="12" s="1"/>
  <c r="M33" i="12" a="1"/>
  <c r="M33" i="12" s="1"/>
  <c r="O33" i="12" a="1"/>
  <c r="O33" i="12" s="1"/>
  <c r="L38" i="19" a="1"/>
  <c r="L38" i="19" s="1"/>
  <c r="N12" i="12" a="1"/>
  <c r="N12" i="12" s="1"/>
  <c r="L12" i="12" a="1"/>
  <c r="L12" i="12" s="1"/>
  <c r="M12" i="12" a="1"/>
  <c r="M12" i="12" s="1"/>
  <c r="O48" i="12" a="1"/>
  <c r="O48" i="12" s="1"/>
  <c r="M48" i="12" a="1"/>
  <c r="M48" i="12" s="1"/>
  <c r="K48" i="12" a="1"/>
  <c r="K48" i="12" s="1"/>
  <c r="L48" i="12" a="1"/>
  <c r="L48" i="12" s="1"/>
  <c r="N48" i="12" a="1"/>
  <c r="N48" i="12" s="1"/>
  <c r="O34" i="19" a="1"/>
  <c r="O34" i="19" s="1"/>
  <c r="M34" i="19" a="1"/>
  <c r="M34" i="19" s="1"/>
  <c r="P35" i="19" a="1"/>
  <c r="P35" i="19" s="1"/>
  <c r="N35" i="19" a="1"/>
  <c r="N35" i="19" s="1"/>
  <c r="L35" i="19" a="1"/>
  <c r="L35" i="19" s="1"/>
  <c r="O35" i="19" a="1"/>
  <c r="O35" i="19" s="1"/>
  <c r="P40" i="19" a="1"/>
  <c r="P40" i="19" s="1"/>
  <c r="N40" i="19" a="1"/>
  <c r="N40" i="19" s="1"/>
  <c r="L40" i="19" a="1"/>
  <c r="L40" i="19" s="1"/>
  <c r="O42" i="19" a="1"/>
  <c r="O42" i="19" s="1"/>
  <c r="M42" i="19" a="1"/>
  <c r="M42" i="19" s="1"/>
  <c r="P43" i="19" a="1"/>
  <c r="P43" i="19" s="1"/>
  <c r="N43" i="19" a="1"/>
  <c r="N43" i="19" s="1"/>
  <c r="L43" i="19" a="1"/>
  <c r="L43" i="19" s="1"/>
  <c r="P46" i="19" a="1"/>
  <c r="P46" i="19" s="1"/>
  <c r="N46" i="19" a="1"/>
  <c r="N46" i="19" s="1"/>
  <c r="L46" i="19" a="1"/>
  <c r="L46" i="19" s="1"/>
  <c r="M46" i="19" a="1"/>
  <c r="M46" i="19" s="1"/>
  <c r="O46" i="19" a="1"/>
  <c r="O46" i="19" s="1"/>
  <c r="L47" i="19" a="1"/>
  <c r="L47" i="19" s="1"/>
  <c r="N47" i="19" a="1"/>
  <c r="N47" i="19" s="1"/>
  <c r="M47" i="19" a="1"/>
  <c r="M47" i="19" s="1"/>
  <c r="N49" i="19" a="1"/>
  <c r="N49" i="19" s="1"/>
  <c r="P49" i="19" a="1"/>
  <c r="P49" i="19" s="1"/>
  <c r="N33" i="12" a="1"/>
  <c r="N33" i="12" s="1"/>
  <c r="P31" i="19" a="1"/>
  <c r="P31" i="19" s="1"/>
  <c r="N31" i="19" a="1"/>
  <c r="N31" i="19" s="1"/>
  <c r="L31" i="19" a="1"/>
  <c r="L31" i="19" s="1"/>
  <c r="O31" i="19" a="1"/>
  <c r="O31" i="19" s="1"/>
  <c r="M35" i="19" a="1"/>
  <c r="M35" i="19" s="1"/>
  <c r="P36" i="19" a="1"/>
  <c r="P36" i="19" s="1"/>
  <c r="N36" i="19" a="1"/>
  <c r="N36" i="19" s="1"/>
  <c r="L36" i="19" a="1"/>
  <c r="L36" i="19" s="1"/>
  <c r="O36" i="19" a="1"/>
  <c r="O36" i="19" s="1"/>
  <c r="O38" i="19" a="1"/>
  <c r="O38" i="19" s="1"/>
  <c r="M38" i="19" a="1"/>
  <c r="M38" i="19" s="1"/>
  <c r="P39" i="19" a="1"/>
  <c r="P39" i="19" s="1"/>
  <c r="N39" i="19" a="1"/>
  <c r="N39" i="19" s="1"/>
  <c r="L39" i="19" a="1"/>
  <c r="L39" i="19" s="1"/>
  <c r="O39" i="19" a="1"/>
  <c r="O39" i="19" s="1"/>
  <c r="M40" i="19" a="1"/>
  <c r="M40" i="19" s="1"/>
  <c r="M43" i="19" a="1"/>
  <c r="M43" i="19" s="1"/>
  <c r="O44" i="19" a="1"/>
  <c r="O44" i="19" s="1"/>
  <c r="M44" i="19" a="1"/>
  <c r="M44" i="19" s="1"/>
  <c r="L44" i="19" a="1"/>
  <c r="L44" i="19" s="1"/>
  <c r="P45" i="19" a="1"/>
  <c r="P45" i="19" s="1"/>
  <c r="M45" i="19" a="1"/>
  <c r="M45" i="19" s="1"/>
  <c r="N45" i="19" a="1"/>
  <c r="N45" i="19" s="1"/>
  <c r="P47" i="19" a="1"/>
  <c r="P47" i="19" s="1"/>
  <c r="L49" i="19" a="1"/>
  <c r="L49" i="19" s="1"/>
  <c r="O11" i="12" a="1"/>
  <c r="O11" i="12" s="1"/>
  <c r="M11" i="12" a="1"/>
  <c r="M11" i="12" s="1"/>
  <c r="K11" i="12" a="1"/>
  <c r="K11" i="12" s="1"/>
  <c r="L11" i="12" a="1"/>
  <c r="L11" i="12" s="1"/>
  <c r="O15" i="12" a="1"/>
  <c r="O15" i="12" s="1"/>
  <c r="M15" i="12" a="1"/>
  <c r="M15" i="12" s="1"/>
  <c r="K15" i="12" a="1"/>
  <c r="K15" i="12" s="1"/>
  <c r="L15" i="12" a="1"/>
  <c r="L15" i="12" s="1"/>
  <c r="O32" i="12" a="1"/>
  <c r="O32" i="12" s="1"/>
  <c r="M32" i="12" a="1"/>
  <c r="M32" i="12" s="1"/>
  <c r="K32" i="12" a="1"/>
  <c r="K32" i="12" s="1"/>
  <c r="L32" i="12" a="1"/>
  <c r="L32" i="12" s="1"/>
  <c r="N32" i="12" a="1"/>
  <c r="N32" i="12" s="1"/>
  <c r="N46" i="12" a="1"/>
  <c r="N46" i="12" s="1"/>
  <c r="L46" i="12" a="1"/>
  <c r="L46" i="12" s="1"/>
  <c r="K46" i="12" a="1"/>
  <c r="K46" i="12" s="1"/>
  <c r="N16" i="12" a="1"/>
  <c r="N16" i="12" s="1"/>
  <c r="L16" i="12" a="1"/>
  <c r="L16" i="12" s="1"/>
  <c r="N17" i="12" a="1"/>
  <c r="N17" i="12" s="1"/>
  <c r="L17" i="12" a="1"/>
  <c r="L17" i="12" s="1"/>
  <c r="O19" i="12" a="1"/>
  <c r="O19" i="12" s="1"/>
  <c r="M19" i="12" a="1"/>
  <c r="M19" i="12" s="1"/>
  <c r="K19" i="12" a="1"/>
  <c r="K19" i="12" s="1"/>
  <c r="N19" i="12" a="1"/>
  <c r="N19" i="12" s="1"/>
  <c r="N26" i="12" a="1"/>
  <c r="N26" i="12" s="1"/>
  <c r="L26" i="12" a="1"/>
  <c r="L26" i="12" s="1"/>
  <c r="K26" i="12" a="1"/>
  <c r="K26" i="12" s="1"/>
  <c r="M26" i="12" a="1"/>
  <c r="M26" i="12" s="1"/>
  <c r="O26" i="12" a="1"/>
  <c r="O26" i="12" s="1"/>
  <c r="O28" i="12" a="1"/>
  <c r="O28" i="12" s="1"/>
  <c r="M28" i="12" a="1"/>
  <c r="M28" i="12" s="1"/>
  <c r="K28" i="12" a="1"/>
  <c r="K28" i="12" s="1"/>
  <c r="N28" i="12" a="1"/>
  <c r="N28" i="12" s="1"/>
  <c r="M29" i="12" a="1"/>
  <c r="M29" i="12" s="1"/>
  <c r="O29" i="12" a="1"/>
  <c r="O29" i="12" s="1"/>
  <c r="L29" i="12" a="1"/>
  <c r="L29" i="12" s="1"/>
  <c r="O31" i="12" a="1"/>
  <c r="O31" i="12" s="1"/>
  <c r="L31" i="12" a="1"/>
  <c r="L31" i="12" s="1"/>
  <c r="M31" i="12" a="1"/>
  <c r="M31" i="12" s="1"/>
  <c r="N37" i="12" a="1"/>
  <c r="N37" i="12" s="1"/>
  <c r="K37" i="12" a="1"/>
  <c r="K37" i="12" s="1"/>
  <c r="N38" i="12" a="1"/>
  <c r="N38" i="12" s="1"/>
  <c r="L38" i="12" a="1"/>
  <c r="L38" i="12" s="1"/>
  <c r="M38" i="12" a="1"/>
  <c r="M38" i="12" s="1"/>
  <c r="O38" i="12" a="1"/>
  <c r="O38" i="12" s="1"/>
  <c r="N42" i="12" a="1"/>
  <c r="N42" i="12" s="1"/>
  <c r="L42" i="12" a="1"/>
  <c r="L42" i="12" s="1"/>
  <c r="K42" i="12" a="1"/>
  <c r="K42" i="12" s="1"/>
  <c r="M42" i="12" a="1"/>
  <c r="M42" i="12" s="1"/>
  <c r="O42" i="12" a="1"/>
  <c r="O42" i="12" s="1"/>
  <c r="O44" i="12" a="1"/>
  <c r="O44" i="12" s="1"/>
  <c r="M44" i="12" a="1"/>
  <c r="M44" i="12" s="1"/>
  <c r="K44" i="12" a="1"/>
  <c r="K44" i="12" s="1"/>
  <c r="N44" i="12" a="1"/>
  <c r="N44" i="12" s="1"/>
  <c r="M45" i="12" a="1"/>
  <c r="M45" i="12" s="1"/>
  <c r="O45" i="12" a="1"/>
  <c r="O45" i="12" s="1"/>
  <c r="L45" i="12" a="1"/>
  <c r="L45" i="12" s="1"/>
  <c r="O47" i="12" a="1"/>
  <c r="O47" i="12" s="1"/>
  <c r="L47" i="12" a="1"/>
  <c r="L47" i="12" s="1"/>
  <c r="M47" i="12" a="1"/>
  <c r="M47" i="12" s="1"/>
  <c r="M16" i="12" a="1"/>
  <c r="M16" i="12" s="1"/>
  <c r="M17" i="12" a="1"/>
  <c r="M17" i="12" s="1"/>
  <c r="N21" i="12" a="1"/>
  <c r="N21" i="12" s="1"/>
  <c r="L21" i="12" a="1"/>
  <c r="L21" i="12" s="1"/>
  <c r="N23" i="12" a="1"/>
  <c r="N23" i="12" s="1"/>
  <c r="K23" i="12" a="1"/>
  <c r="K23" i="12" s="1"/>
  <c r="M23" i="12" a="1"/>
  <c r="M23" i="12" s="1"/>
  <c r="O23" i="12" a="1"/>
  <c r="O23" i="12" s="1"/>
  <c r="L28" i="12" a="1"/>
  <c r="L28" i="12" s="1"/>
  <c r="N31" i="12" a="1"/>
  <c r="N31" i="12" s="1"/>
  <c r="L37" i="12" a="1"/>
  <c r="L37" i="12" s="1"/>
  <c r="L44" i="12" a="1"/>
  <c r="L44" i="12" s="1"/>
  <c r="N47" i="12" a="1"/>
  <c r="N47" i="12" s="1"/>
  <c r="K10" i="12" a="1"/>
  <c r="K10" i="12" s="1"/>
  <c r="M10" i="12" a="1"/>
  <c r="M10" i="12" s="1"/>
  <c r="K14" i="12" a="1"/>
  <c r="K14" i="12" s="1"/>
  <c r="M14" i="12" a="1"/>
  <c r="M14" i="12" s="1"/>
  <c r="K18" i="12" a="1"/>
  <c r="K18" i="12" s="1"/>
  <c r="M18" i="12" a="1"/>
  <c r="M18" i="12" s="1"/>
  <c r="K22" i="12" a="1"/>
  <c r="K22" i="12" s="1"/>
  <c r="M22" i="12" a="1"/>
  <c r="M22" i="12" s="1"/>
  <c r="O24" i="12" a="1"/>
  <c r="O24" i="12" s="1"/>
  <c r="M24" i="12" a="1"/>
  <c r="M24" i="12" s="1"/>
  <c r="K24" i="12" a="1"/>
  <c r="K24" i="12" s="1"/>
  <c r="N25" i="12" a="1"/>
  <c r="N25" i="12" s="1"/>
  <c r="K27" i="12" a="1"/>
  <c r="K27" i="12" s="1"/>
  <c r="N27" i="12" a="1"/>
  <c r="N27" i="12" s="1"/>
  <c r="N34" i="12" a="1"/>
  <c r="N34" i="12" s="1"/>
  <c r="L34" i="12" a="1"/>
  <c r="L34" i="12" s="1"/>
  <c r="O40" i="12" a="1"/>
  <c r="O40" i="12" s="1"/>
  <c r="M40" i="12" a="1"/>
  <c r="M40" i="12" s="1"/>
  <c r="K40" i="12" a="1"/>
  <c r="K40" i="12" s="1"/>
  <c r="N41" i="12" a="1"/>
  <c r="N41" i="12" s="1"/>
  <c r="K43" i="12" a="1"/>
  <c r="K43" i="12" s="1"/>
  <c r="N43" i="12" a="1"/>
  <c r="N43" i="12" s="1"/>
  <c r="L25" i="12" a="1"/>
  <c r="L25" i="12" s="1"/>
  <c r="O34" i="12" a="1"/>
  <c r="O34" i="12" s="1"/>
  <c r="O36" i="12" a="1"/>
  <c r="O36" i="12" s="1"/>
  <c r="M36" i="12" a="1"/>
  <c r="M36" i="12" s="1"/>
  <c r="K36" i="12" a="1"/>
  <c r="K36" i="12" s="1"/>
  <c r="K39" i="12" a="1"/>
  <c r="K39" i="12" s="1"/>
  <c r="L41" i="12" a="1"/>
  <c r="L41"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Katie King</author>
  </authors>
  <commentList>
    <comment ref="E23" authorId="0" shapeId="0" xr:uid="{00000000-0006-0000-0500-000001000000}">
      <text>
        <r>
          <rPr>
            <sz val="9"/>
            <color indexed="81"/>
            <rFont val="Tahoma"/>
            <family val="2"/>
          </rPr>
          <t>If you enter data here, please check that you are not double counting emissions that are already covered by operational emissions reported elsewhere</t>
        </r>
      </text>
    </comment>
    <comment ref="E24" authorId="0" shapeId="0" xr:uid="{00000000-0006-0000-0500-000002000000}">
      <text>
        <r>
          <rPr>
            <sz val="9"/>
            <color indexed="81"/>
            <rFont val="Tahoma"/>
            <family val="2"/>
          </rPr>
          <t>If you enter data here, please check that you are not double counting emissions that are already covered by operational emissions reported elsewhere</t>
        </r>
      </text>
    </comment>
    <comment ref="E25" authorId="0" shapeId="0" xr:uid="{00000000-0006-0000-0500-000003000000}">
      <text>
        <r>
          <rPr>
            <sz val="9"/>
            <color indexed="81"/>
            <rFont val="Tahoma"/>
            <family val="2"/>
          </rPr>
          <t>If you enter data here, please check that you are not double counting emissions that are already covered by operational emissions reported elsewhere</t>
        </r>
      </text>
    </comment>
    <comment ref="E26" authorId="0" shapeId="0" xr:uid="{00000000-0006-0000-0500-000004000000}">
      <text>
        <r>
          <rPr>
            <sz val="9"/>
            <color indexed="81"/>
            <rFont val="Tahoma"/>
            <family val="2"/>
          </rPr>
          <t>If you enter data here, please check that you are not double counting emissions that are already covered by operational emissions reported elsewhere</t>
        </r>
      </text>
    </comment>
    <comment ref="E27" authorId="0" shapeId="0" xr:uid="{00000000-0006-0000-0500-000005000000}">
      <text>
        <r>
          <rPr>
            <sz val="9"/>
            <color indexed="81"/>
            <rFont val="Tahoma"/>
            <family val="2"/>
          </rPr>
          <t>If you enter data here, please check that you are not double counting emissions that are already covered by operational emissions reported elsewhere</t>
        </r>
      </text>
    </comment>
  </commentList>
</comments>
</file>

<file path=xl/sharedStrings.xml><?xml version="1.0" encoding="utf-8"?>
<sst xmlns="http://schemas.openxmlformats.org/spreadsheetml/2006/main" count="7297" uniqueCount="1065">
  <si>
    <t>Local Authority</t>
  </si>
  <si>
    <t>Isle of Anglesey County Council</t>
  </si>
  <si>
    <t>North Wales</t>
  </si>
  <si>
    <t>Not used</t>
  </si>
  <si>
    <t>Buildings, fleet &amp; other assets</t>
  </si>
  <si>
    <r>
      <t>Units of kgCO</t>
    </r>
    <r>
      <rPr>
        <b/>
        <vertAlign val="subscript"/>
        <sz val="10"/>
        <color rgb="FFFFFFFF"/>
        <rFont val="Calibri"/>
        <family val="2"/>
        <scheme val="minor"/>
      </rPr>
      <t>2</t>
    </r>
    <r>
      <rPr>
        <b/>
        <sz val="10"/>
        <color rgb="FFFFFFFF"/>
        <rFont val="Calibri"/>
        <family val="2"/>
        <scheme val="minor"/>
      </rPr>
      <t>e</t>
    </r>
  </si>
  <si>
    <t>Categories</t>
  </si>
  <si>
    <t>Direct</t>
  </si>
  <si>
    <t>Indirect</t>
  </si>
  <si>
    <t>Total</t>
  </si>
  <si>
    <t>Outside of scopes</t>
  </si>
  <si>
    <t>Scope 1</t>
  </si>
  <si>
    <t>Scope 2</t>
  </si>
  <si>
    <t>Scope 3</t>
  </si>
  <si>
    <t>Business travel, commuting &amp; homeworking</t>
  </si>
  <si>
    <t>Business travel</t>
  </si>
  <si>
    <t>Commuting</t>
  </si>
  <si>
    <t>Homeworking</t>
  </si>
  <si>
    <t>Waste</t>
  </si>
  <si>
    <t>Organisational waste</t>
  </si>
  <si>
    <t>Municipal waste</t>
  </si>
  <si>
    <t>Project waste</t>
  </si>
  <si>
    <t>Renewables</t>
  </si>
  <si>
    <t>Units of kWh</t>
  </si>
  <si>
    <t>Total generated</t>
  </si>
  <si>
    <t>Total exported</t>
  </si>
  <si>
    <t>Onsite renewables - heat</t>
  </si>
  <si>
    <t>Onsite renewables - electricity</t>
  </si>
  <si>
    <t>Onsite renewables - CHP</t>
  </si>
  <si>
    <t>Purchased renewables - heat</t>
  </si>
  <si>
    <t>Purchased renewables - electricity</t>
  </si>
  <si>
    <t>Agriculture, forestry and fishing</t>
  </si>
  <si>
    <t>Total emissions</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</si>
  <si>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</si>
  <si>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</si>
  <si>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</si>
  <si>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</si>
  <si>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</si>
  <si>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</si>
  <si>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</si>
  <si>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</si>
  <si>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</si>
  <si>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</si>
  <si>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</si>
  <si>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</si>
  <si>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</si>
  <si>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</si>
  <si>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</si>
  <si>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</si>
  <si>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</si>
  <si>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</si>
  <si>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goods- and services-producing activities of households for own use</t>
  </si>
  <si>
    <t>Buildings</t>
  </si>
  <si>
    <t>Emission data breakdown (kg CO2e)</t>
  </si>
  <si>
    <t>Ownership structure</t>
  </si>
  <si>
    <t>Fuel/emission source</t>
  </si>
  <si>
    <t>Category 1</t>
  </si>
  <si>
    <t>Methodology</t>
  </si>
  <si>
    <t>RSD</t>
  </si>
  <si>
    <t>Data</t>
  </si>
  <si>
    <t>Units</t>
  </si>
  <si>
    <t>Converted data</t>
  </si>
  <si>
    <t>Standard units</t>
  </si>
  <si>
    <t>Total EF (kgCO2e/unit)</t>
  </si>
  <si>
    <t>Notes</t>
  </si>
  <si>
    <t>Indirect generation</t>
  </si>
  <si>
    <t>Indirect service</t>
  </si>
  <si>
    <t>Indirect T&amp;D</t>
  </si>
  <si>
    <t>Indirect WTT</t>
  </si>
  <si>
    <t>Buildings we own and occupy</t>
  </si>
  <si>
    <t>Natural gas</t>
  </si>
  <si>
    <t>All natural gas</t>
  </si>
  <si>
    <t>Tier 3</t>
  </si>
  <si>
    <t>kWh</t>
  </si>
  <si>
    <t>Data complete but requires effort to collect and process</t>
  </si>
  <si>
    <t>Tier 1</t>
  </si>
  <si>
    <t>LPG</t>
  </si>
  <si>
    <t>All LPG</t>
  </si>
  <si>
    <t>Gas oil</t>
  </si>
  <si>
    <t>All gas oil</t>
  </si>
  <si>
    <t>Grid electricity</t>
  </si>
  <si>
    <t>Consumption based</t>
  </si>
  <si>
    <t>Kerosene</t>
  </si>
  <si>
    <t>All kerosene</t>
  </si>
  <si>
    <t>Streetlighting</t>
  </si>
  <si>
    <t>Type of lighting</t>
  </si>
  <si>
    <t>Data complete and easy to collect and process</t>
  </si>
  <si>
    <t>Fleet and equipment - fuel</t>
  </si>
  <si>
    <t>Type</t>
  </si>
  <si>
    <t>Fuel</t>
  </si>
  <si>
    <t>Equipment</t>
  </si>
  <si>
    <t>Fleet - distance</t>
  </si>
  <si>
    <t>Size</t>
  </si>
  <si>
    <t>Agriculture</t>
  </si>
  <si>
    <t xml:space="preserve">
</t>
  </si>
  <si>
    <t>Emission source</t>
  </si>
  <si>
    <t>Category 2</t>
  </si>
  <si>
    <t>Motorbike</t>
  </si>
  <si>
    <t>Average</t>
  </si>
  <si>
    <t>Petrol</t>
  </si>
  <si>
    <t>Tier 2</t>
  </si>
  <si>
    <t>Waste type</t>
  </si>
  <si>
    <t>Disposal</t>
  </si>
  <si>
    <t>Household residual waste</t>
  </si>
  <si>
    <t>Landfill</t>
  </si>
  <si>
    <t>tonnes</t>
  </si>
  <si>
    <t>Mixed WEEE</t>
  </si>
  <si>
    <t>Recycling</t>
  </si>
  <si>
    <t>Soil type</t>
  </si>
  <si>
    <t>Supply chain - tier 1 methodology</t>
  </si>
  <si>
    <t>Supply chain group</t>
  </si>
  <si>
    <t>SIC code (SIC 2007)</t>
  </si>
  <si>
    <t>Product category</t>
  </si>
  <si>
    <t>Amount spent by product category (£)</t>
  </si>
  <si>
    <t>Notes on data source and exclusions</t>
  </si>
  <si>
    <t>AGRICULTURE, FORESTRY AND FISHING</t>
  </si>
  <si>
    <t>01</t>
  </si>
  <si>
    <t>Agriculture products</t>
  </si>
  <si>
    <t>02</t>
  </si>
  <si>
    <t>Forestry products</t>
  </si>
  <si>
    <t>03</t>
  </si>
  <si>
    <t>Fish products</t>
  </si>
  <si>
    <t>MINING AND QUARRYING</t>
  </si>
  <si>
    <t>05</t>
  </si>
  <si>
    <t>08</t>
  </si>
  <si>
    <t xml:space="preserve">Other mining and quarrying products           </t>
  </si>
  <si>
    <t>09</t>
  </si>
  <si>
    <t xml:space="preserve">Mining support services             </t>
  </si>
  <si>
    <t>MANUFACTURING</t>
  </si>
  <si>
    <t>10.1</t>
  </si>
  <si>
    <t xml:space="preserve">Preserved meat and meat products           </t>
  </si>
  <si>
    <t xml:space="preserve">Processed and preserved fish, crustaceans, molluscs, fruit and vegetables       </t>
  </si>
  <si>
    <t>10.4</t>
  </si>
  <si>
    <t xml:space="preserve">Vegetable and animal oils and fats          </t>
  </si>
  <si>
    <t>10.5</t>
  </si>
  <si>
    <t xml:space="preserve">Dairy products              </t>
  </si>
  <si>
    <t>10.6</t>
  </si>
  <si>
    <t xml:space="preserve">Grain mill products, starches and starch products         </t>
  </si>
  <si>
    <t>10.7</t>
  </si>
  <si>
    <t xml:space="preserve">Bakery and farinaceous products            </t>
  </si>
  <si>
    <t>10.8</t>
  </si>
  <si>
    <t xml:space="preserve">Other food products             </t>
  </si>
  <si>
    <t xml:space="preserve">Prepared animal feeds             </t>
  </si>
  <si>
    <t>11.01-6</t>
  </si>
  <si>
    <t xml:space="preserve">Alcoholic beverages              </t>
  </si>
  <si>
    <t xml:space="preserve">Soft drinks              </t>
  </si>
  <si>
    <t xml:space="preserve">Tobacco products              </t>
  </si>
  <si>
    <t xml:space="preserve">Wearing apparel              </t>
  </si>
  <si>
    <t xml:space="preserve">Paper and paper products            </t>
  </si>
  <si>
    <t xml:space="preserve">Printing and recording services            </t>
  </si>
  <si>
    <t xml:space="preserve">Coke and refined petroleum products           </t>
  </si>
  <si>
    <t>20A</t>
  </si>
  <si>
    <t>20B</t>
  </si>
  <si>
    <t>20C</t>
  </si>
  <si>
    <t xml:space="preserve">Paints, varnishes and similar coatings, printing ink and mastics       </t>
  </si>
  <si>
    <t xml:space="preserve">Soap and detergents, cleaning and polishing preparations, perfumes and toilet preparations     </t>
  </si>
  <si>
    <t xml:space="preserve">Basic pharmaceutical products and pharmaceutical preparations          </t>
  </si>
  <si>
    <t xml:space="preserve">Rubber and plastic products            </t>
  </si>
  <si>
    <t>23OTHER</t>
  </si>
  <si>
    <t>23.5-6</t>
  </si>
  <si>
    <t>24.1-3</t>
  </si>
  <si>
    <t xml:space="preserve">Basic iron and steel            </t>
  </si>
  <si>
    <t>24.4-5</t>
  </si>
  <si>
    <t xml:space="preserve">Other basic metals and casting           </t>
  </si>
  <si>
    <t>25OTHER</t>
  </si>
  <si>
    <t xml:space="preserve">Weapons and ammunition             </t>
  </si>
  <si>
    <t xml:space="preserve">Computer, electronic and optical products           </t>
  </si>
  <si>
    <t xml:space="preserve">Electrical equipment              </t>
  </si>
  <si>
    <t xml:space="preserve">Machinery and equipment n.e.c.            </t>
  </si>
  <si>
    <t xml:space="preserve">Motor vehicles, trailers and semi-trailers           </t>
  </si>
  <si>
    <t xml:space="preserve">Ships and boats             </t>
  </si>
  <si>
    <t xml:space="preserve">Air and spacecraft and related machinery          </t>
  </si>
  <si>
    <t>30OTHER</t>
  </si>
  <si>
    <t xml:space="preserve">Other transport equipment - 30.2/4/9           </t>
  </si>
  <si>
    <t xml:space="preserve">Furniture               </t>
  </si>
  <si>
    <t xml:space="preserve">Other manufactured goods             </t>
  </si>
  <si>
    <t xml:space="preserve">Repair and maintenance of ships and boats         </t>
  </si>
  <si>
    <t xml:space="preserve">Repair and maintenance of aircraft and spacecraft         </t>
  </si>
  <si>
    <t>33OTHER</t>
  </si>
  <si>
    <t xml:space="preserve">Rest of repair; Installation - 33.11-14/17/19/20          </t>
  </si>
  <si>
    <t>ELECTRICITY, GAS, STEAM AND AIR CONDITIONING SUPPLY</t>
  </si>
  <si>
    <t>Electricity, transmission and distribution</t>
  </si>
  <si>
    <t>35.2-3</t>
  </si>
  <si>
    <t>WATER SUPPLY; SEWERAGE, WASTE MANAGEMENT AND REMEDIATION ACTIVITIES</t>
  </si>
  <si>
    <t xml:space="preserve">Natural water; water treatment and supply services         </t>
  </si>
  <si>
    <t xml:space="preserve">Sewerage services; sewage sludge            </t>
  </si>
  <si>
    <t xml:space="preserve">Waste collection, treatment and disposal services; materials recovery services       </t>
  </si>
  <si>
    <t xml:space="preserve">Remediation services and other waste management services         </t>
  </si>
  <si>
    <t>CONSTRUCTION</t>
  </si>
  <si>
    <t>WHOLESALE AND RETAIL TRADE; REPAIR OF MOTOR VEHICLES AND MOTORCYCLES</t>
  </si>
  <si>
    <t xml:space="preserve">Wholesale and retail trade and repair services of motor vehicles and motorcycles    </t>
  </si>
  <si>
    <t xml:space="preserve">Wholesale trade services, except of motor vehicles and motorcycles       </t>
  </si>
  <si>
    <t xml:space="preserve">Retail trade services, except of motor vehicles and motorcycles       </t>
  </si>
  <si>
    <t>TRANSPORTATION AND STORAGE</t>
  </si>
  <si>
    <t>49.1-2</t>
  </si>
  <si>
    <t>49.3-5</t>
  </si>
  <si>
    <t xml:space="preserve">Warehousing and support services for transportation          </t>
  </si>
  <si>
    <t xml:space="preserve">Postal and courier services            </t>
  </si>
  <si>
    <t>ACCOMMODATION AND FOOD SERVICE ACTIVITIES</t>
  </si>
  <si>
    <t xml:space="preserve">Accommodation services              </t>
  </si>
  <si>
    <t xml:space="preserve">Food and beverage serving services           </t>
  </si>
  <si>
    <t>INFORMATION AND COMMUNICATION</t>
  </si>
  <si>
    <t xml:space="preserve">Publishing services              </t>
  </si>
  <si>
    <t xml:space="preserve">Telecommunications services              </t>
  </si>
  <si>
    <t xml:space="preserve">Computer programming, consultancy and related services          </t>
  </si>
  <si>
    <t xml:space="preserve">Information services              </t>
  </si>
  <si>
    <t>FINANCIAL AND INSURANCE ACTIVITIES</t>
  </si>
  <si>
    <t xml:space="preserve">Financial services, except insurance and pension funding         </t>
  </si>
  <si>
    <t xml:space="preserve">Services auxiliary to financial services and insurance services        </t>
  </si>
  <si>
    <t>REAL ESTATE ACTIVITIES</t>
  </si>
  <si>
    <t xml:space="preserve">Real estate services, excluding on a fee or contract basis and imputed rent   </t>
  </si>
  <si>
    <t>68.2IMP</t>
  </si>
  <si>
    <t>Owner-Occupiers' Housing Services</t>
  </si>
  <si>
    <t xml:space="preserve">Real estate services on a fee or contract basis       </t>
  </si>
  <si>
    <t>PROFESSIONAL, SCIENTIFIC AND TECHNICAL ACTIVITIES</t>
  </si>
  <si>
    <t xml:space="preserve">Legal services              </t>
  </si>
  <si>
    <t xml:space="preserve">Accounting, bookkeeping and auditing services; tax consulting services        </t>
  </si>
  <si>
    <t xml:space="preserve">Services of head offices; management consulting services         </t>
  </si>
  <si>
    <t xml:space="preserve">Architectural and engineering services; technical testing and analysis services       </t>
  </si>
  <si>
    <t xml:space="preserve">Scientific research and development services           </t>
  </si>
  <si>
    <t xml:space="preserve">Advertising and market research services           </t>
  </si>
  <si>
    <t xml:space="preserve">Other professional, scientific and technical services          </t>
  </si>
  <si>
    <t xml:space="preserve">Veterinary services              </t>
  </si>
  <si>
    <t>ADMINISTRATIVE AND SUPPORT SERVICE ACTIVITIES</t>
  </si>
  <si>
    <t xml:space="preserve">Rental and leasing services            </t>
  </si>
  <si>
    <t xml:space="preserve">Employment services              </t>
  </si>
  <si>
    <t xml:space="preserve">Travel agency, tour operator and other reservation services and related services     </t>
  </si>
  <si>
    <t xml:space="preserve">Security and investigation services            </t>
  </si>
  <si>
    <t xml:space="preserve">Services to buildings and landscape           </t>
  </si>
  <si>
    <t xml:space="preserve">Office administrative, office support and other business support services       </t>
  </si>
  <si>
    <t>PUBLIC ADMINISTRATION AND DEFENCE; COMPULSORY SOCIAL SECURITY</t>
  </si>
  <si>
    <t xml:space="preserve">Public administration and defence services; compulsory social security services       </t>
  </si>
  <si>
    <t>EDUCATION</t>
  </si>
  <si>
    <t xml:space="preserve">Education services              </t>
  </si>
  <si>
    <t>HUMAN HEALTH AND SOCIAL WORK ACTIVITIES</t>
  </si>
  <si>
    <t xml:space="preserve">Human health services             </t>
  </si>
  <si>
    <t>ARTS, ENTERTAINMENT AND RECREATION</t>
  </si>
  <si>
    <t xml:space="preserve">Creative, arts and entertainment services           </t>
  </si>
  <si>
    <t xml:space="preserve">Libraries, archives, museums and other cultural services         </t>
  </si>
  <si>
    <t xml:space="preserve">Gambling and betting services            </t>
  </si>
  <si>
    <t xml:space="preserve">Sports services and amusement and recreation services         </t>
  </si>
  <si>
    <t>OTHER SERVICE ACTIVITIES</t>
  </si>
  <si>
    <t xml:space="preserve">Services furnished by membership organisations           </t>
  </si>
  <si>
    <t xml:space="preserve">Repair services of computers and personal and household goods       </t>
  </si>
  <si>
    <t xml:space="preserve">Other personal services             </t>
  </si>
  <si>
    <t>ACTIVITIES OF HOUSEHOLDS AS EMPLOYERS; UNDIFFERENTIATED GOODS- AND SERVICES-PRODUCING ACTIVITIES OF HOUSEHOLDS FOR OWN USE</t>
  </si>
  <si>
    <t xml:space="preserve">Services of households as employers of domestic personnel        </t>
  </si>
  <si>
    <t>Supply chain - tier 2 methodology</t>
  </si>
  <si>
    <t>Spend for which Tier 2 method accounts</t>
  </si>
  <si>
    <t>Calculated emissions (kgCO2e) for this spend</t>
  </si>
  <si>
    <t>Notes on data source and methods</t>
  </si>
  <si>
    <t>Onsite renewables</t>
  </si>
  <si>
    <t>Renewable Type</t>
  </si>
  <si>
    <t>Technology</t>
  </si>
  <si>
    <t>Total kWh generated</t>
  </si>
  <si>
    <t>kWh consumed onsite</t>
  </si>
  <si>
    <t>kWh exported</t>
  </si>
  <si>
    <t>Renewable heat</t>
  </si>
  <si>
    <t>Water source heat pump</t>
  </si>
  <si>
    <t>Renewable electricity</t>
  </si>
  <si>
    <t>Renewable CHP electricity</t>
  </si>
  <si>
    <t>Biomass CHP</t>
  </si>
  <si>
    <t>Purchased renewables</t>
  </si>
  <si>
    <t>Agreement</t>
  </si>
  <si>
    <t>Total kWh purchased</t>
  </si>
  <si>
    <t>Purchased renewable heat</t>
  </si>
  <si>
    <t>Heat purchased from district heat ring</t>
  </si>
  <si>
    <t>Purchased renewable electricity</t>
  </si>
  <si>
    <t>The carbon footprint of waste streams in a UK hospital, Journal of Cleaner Production, 281, 2021. Rizan et al</t>
  </si>
  <si>
    <t>Fleet &amp; equipment</t>
  </si>
  <si>
    <t>Land use</t>
  </si>
  <si>
    <t>Other typical unit</t>
  </si>
  <si>
    <t>Fuels</t>
  </si>
  <si>
    <t>Bioenergy</t>
  </si>
  <si>
    <t>UK electricity</t>
  </si>
  <si>
    <t>Heat and steam</t>
  </si>
  <si>
    <t>WTT - fuels</t>
  </si>
  <si>
    <t>WTT- bioenergy</t>
  </si>
  <si>
    <t>Transmission and distribution</t>
  </si>
  <si>
    <t>WTT- UK &amp; overseas elec</t>
  </si>
  <si>
    <t>WTT- heat and steam</t>
  </si>
  <si>
    <t>Water supply</t>
  </si>
  <si>
    <t>Water treatment</t>
  </si>
  <si>
    <t>Waste disposal</t>
  </si>
  <si>
    <t>Business travel- air</t>
  </si>
  <si>
    <t>WTT- business travel- air</t>
  </si>
  <si>
    <t>Business travel- sea</t>
  </si>
  <si>
    <t>WTT- business travel- sea</t>
  </si>
  <si>
    <t>Business travel- land</t>
  </si>
  <si>
    <t>WTT- pass vehs &amp; travel- land</t>
  </si>
  <si>
    <t>Freighting goods</t>
  </si>
  <si>
    <t>WTT - delivery vehs &amp; freight</t>
  </si>
  <si>
    <t>Table 2</t>
  </si>
  <si>
    <t>Table 3</t>
  </si>
  <si>
    <t>Table 4</t>
  </si>
  <si>
    <t>UK Efs calculated from 2019 NAEI data</t>
  </si>
  <si>
    <t>Y</t>
  </si>
  <si>
    <t>N</t>
  </si>
  <si>
    <t>Gross CV</t>
  </si>
  <si>
    <t>m3</t>
  </si>
  <si>
    <t>Standard natural gas received through the gas mains grid network in the UK. Note - contains limited biogas content.</t>
  </si>
  <si>
    <t>litres</t>
  </si>
  <si>
    <t>Wood pellets</t>
  </si>
  <si>
    <t>Wood chips</t>
  </si>
  <si>
    <t>Biogas</t>
  </si>
  <si>
    <t>Grid electricity is made up of generation (scope 2) and transmission &amp; distribution (scope 3). Each of these parts have associated WTT emissions.</t>
  </si>
  <si>
    <t>Onsite</t>
  </si>
  <si>
    <t>Use these factors for onsite or adjacent suppliers</t>
  </si>
  <si>
    <t>District</t>
  </si>
  <si>
    <t>Use these factors if the heat and steam are being supplied through a longer network</t>
  </si>
  <si>
    <t>Water</t>
  </si>
  <si>
    <t>Mains supply</t>
  </si>
  <si>
    <t>Mains treatment</t>
  </si>
  <si>
    <t>Onsite supply</t>
  </si>
  <si>
    <t>Assumed that onsite supply from rainwater or borehole requires no additional processing</t>
  </si>
  <si>
    <t>Onsite treatment</t>
  </si>
  <si>
    <t>Assumed that onsite treatment produces no additional emissions</t>
  </si>
  <si>
    <t>Diesel</t>
  </si>
  <si>
    <t>Average biofuel blend</t>
  </si>
  <si>
    <t>100% mineral diesel</t>
  </si>
  <si>
    <t>100% mineral petrol</t>
  </si>
  <si>
    <t>Biodiesel</t>
  </si>
  <si>
    <t>HVO</t>
  </si>
  <si>
    <t>ME</t>
  </si>
  <si>
    <t>Biopetrol</t>
  </si>
  <si>
    <t>100% biopetrol</t>
  </si>
  <si>
    <t>Farmland soils</t>
  </si>
  <si>
    <t>Improved grassland</t>
  </si>
  <si>
    <t>hectares</t>
  </si>
  <si>
    <t>km2</t>
  </si>
  <si>
    <t>Arable land</t>
  </si>
  <si>
    <t>Livestock</t>
  </si>
  <si>
    <t>Dairy cattle</t>
  </si>
  <si>
    <t>Head</t>
  </si>
  <si>
    <t>Non-dairy cattle</t>
  </si>
  <si>
    <t>Pigs</t>
  </si>
  <si>
    <t>Poultry</t>
  </si>
  <si>
    <t>Horses</t>
  </si>
  <si>
    <t>Sheep and goats</t>
  </si>
  <si>
    <t>Van</t>
  </si>
  <si>
    <t>Average (up to 3.5 tonnes)</t>
  </si>
  <si>
    <t>Vehicle km</t>
  </si>
  <si>
    <t>Vehicle miles</t>
  </si>
  <si>
    <t>Battery Electric Vehicle</t>
  </si>
  <si>
    <t>Unknown</t>
  </si>
  <si>
    <t>HGV</t>
  </si>
  <si>
    <t>Average rigid</t>
  </si>
  <si>
    <t>Average laden</t>
  </si>
  <si>
    <t>Average articulated</t>
  </si>
  <si>
    <t>Average HGV</t>
  </si>
  <si>
    <t>Pool car</t>
  </si>
  <si>
    <t>Hybrid</t>
  </si>
  <si>
    <t>Plug-in Hybrid Electric Vehicle</t>
  </si>
  <si>
    <t>Unknown fuel</t>
  </si>
  <si>
    <t>Private car</t>
  </si>
  <si>
    <t>Small</t>
  </si>
  <si>
    <t>Medium</t>
  </si>
  <si>
    <t>Large</t>
  </si>
  <si>
    <t>Hire car</t>
  </si>
  <si>
    <t>Public transport</t>
  </si>
  <si>
    <t>Taxi</t>
  </si>
  <si>
    <t>Taxi - Regular</t>
  </si>
  <si>
    <t>Passenger km</t>
  </si>
  <si>
    <t>Passenger miles</t>
  </si>
  <si>
    <t>Taxi - Black cab</t>
  </si>
  <si>
    <t>Bus</t>
  </si>
  <si>
    <t>Average local bus</t>
  </si>
  <si>
    <t>Coach</t>
  </si>
  <si>
    <t>Rail</t>
  </si>
  <si>
    <t>National rail</t>
  </si>
  <si>
    <t>International rail</t>
  </si>
  <si>
    <t>Light rail and tram</t>
  </si>
  <si>
    <t>London Underground</t>
  </si>
  <si>
    <t>Ferry</t>
  </si>
  <si>
    <t>Ferry - Foot passenger</t>
  </si>
  <si>
    <t>Ferry - Car passenger</t>
  </si>
  <si>
    <t>Flight</t>
  </si>
  <si>
    <t>Domestic</t>
  </si>
  <si>
    <t>Economy</t>
  </si>
  <si>
    <t>Business</t>
  </si>
  <si>
    <t>Home office electricity and heating fuel</t>
  </si>
  <si>
    <t>FTE year</t>
  </si>
  <si>
    <t>Aggregates</t>
  </si>
  <si>
    <t>kg</t>
  </si>
  <si>
    <t>Average construction</t>
  </si>
  <si>
    <t>Asbestos</t>
  </si>
  <si>
    <t>Asphalt</t>
  </si>
  <si>
    <t>Bricks</t>
  </si>
  <si>
    <t>Concrete</t>
  </si>
  <si>
    <t>Insulation</t>
  </si>
  <si>
    <t>Metals</t>
  </si>
  <si>
    <t>Soils</t>
  </si>
  <si>
    <t>Mineral oil</t>
  </si>
  <si>
    <t>Combustion</t>
  </si>
  <si>
    <t>Plasterboard</t>
  </si>
  <si>
    <t>Tyres</t>
  </si>
  <si>
    <t>Wood</t>
  </si>
  <si>
    <t>Composting</t>
  </si>
  <si>
    <t>Anaerobic digestion</t>
  </si>
  <si>
    <t>Commercial and industrial waste</t>
  </si>
  <si>
    <t>Mixed plastics</t>
  </si>
  <si>
    <t>Mixed glass</t>
  </si>
  <si>
    <t>Mixed metal cans</t>
  </si>
  <si>
    <t>Mixed paper</t>
  </si>
  <si>
    <t>Mixed recycling</t>
  </si>
  <si>
    <t>Batteries</t>
  </si>
  <si>
    <t>Clothing</t>
  </si>
  <si>
    <t>Organic food and drink</t>
  </si>
  <si>
    <t>Organic garden</t>
  </si>
  <si>
    <t>Organic mixed</t>
  </si>
  <si>
    <t>Non infectious offensive waste</t>
  </si>
  <si>
    <t>Infectious waste</t>
  </si>
  <si>
    <t>Autoclave treatment and combustion</t>
  </si>
  <si>
    <t>Clinical waste</t>
  </si>
  <si>
    <t>High temperature incineration</t>
  </si>
  <si>
    <t>Medical contaminated sharps waste</t>
  </si>
  <si>
    <t>Anatomical waste</t>
  </si>
  <si>
    <t>Medicinal waste</t>
  </si>
  <si>
    <t>Forest land</t>
  </si>
  <si>
    <t>Cropland</t>
  </si>
  <si>
    <t>Grassland</t>
  </si>
  <si>
    <t>Wetlands</t>
  </si>
  <si>
    <t>Settlements</t>
  </si>
  <si>
    <t>Other land</t>
  </si>
  <si>
    <t>Mineral</t>
  </si>
  <si>
    <t>Organic</t>
  </si>
  <si>
    <t>Coal</t>
  </si>
  <si>
    <t>Benchmarking data</t>
  </si>
  <si>
    <t>Energy use in building benchmarks</t>
  </si>
  <si>
    <t>Water use and waste benchmarks</t>
  </si>
  <si>
    <t>Commuting benchmarks</t>
  </si>
  <si>
    <t>The source of building water benchmarks is a publication by the Better Buildings Partnership (2017 Real Estate Environmental Benchmarks: January 2018 ). Organisations are free to use alternative sources of benchmark water data but any data sources should be carefully documented, along with rationale for selection.</t>
  </si>
  <si>
    <t xml:space="preserve">The average commuting distance in Wales average is 9.5 miles/ 15.3 km and the modal split is shown in the table below. Data source: ‘The Car and the Commute: The journey to work in England and Wales’ report by the RAC Foundation </t>
  </si>
  <si>
    <t>Name</t>
  </si>
  <si>
    <t>Description</t>
  </si>
  <si>
    <r>
      <t>Good practice benchmark (m</t>
    </r>
    <r>
      <rPr>
        <b/>
        <vertAlign val="superscript"/>
        <sz val="10"/>
        <color rgb="FFFFFFFF"/>
        <rFont val="Calibri"/>
        <family val="2"/>
        <scheme val="minor"/>
      </rPr>
      <t>3</t>
    </r>
    <r>
      <rPr>
        <b/>
        <sz val="10"/>
        <color rgb="FFFFFFFF"/>
        <rFont val="Calibri"/>
        <family val="2"/>
        <scheme val="minor"/>
      </rPr>
      <t>/person/working day)</t>
    </r>
  </si>
  <si>
    <r>
      <t>Typical practice benchmark (m</t>
    </r>
    <r>
      <rPr>
        <b/>
        <vertAlign val="superscript"/>
        <sz val="10"/>
        <color rgb="FFFFFFFF"/>
        <rFont val="Calibri"/>
        <family val="2"/>
        <scheme val="minor"/>
      </rPr>
      <t>3</t>
    </r>
    <r>
      <rPr>
        <b/>
        <sz val="10"/>
        <color rgb="FFFFFFFF"/>
        <rFont val="Calibri"/>
        <family val="2"/>
        <scheme val="minor"/>
      </rPr>
      <t>/person/working day)</t>
    </r>
  </si>
  <si>
    <t>Travel mode</t>
  </si>
  <si>
    <t>% split</t>
  </si>
  <si>
    <t>Source</t>
  </si>
  <si>
    <t>Offices</t>
  </si>
  <si>
    <t>Car</t>
  </si>
  <si>
    <t>https://www.racfoundation.org/assets/rac_foundation/content/downloadables/car-and-the-commute-web-version.pdf</t>
  </si>
  <si>
    <t>Car passenger</t>
  </si>
  <si>
    <t>Waste benchmarks have been taken from WRAP (Waste &amp; Resources Action Programme) Green Office: A Guide to Running a More Cost-effective and Environmentally Sustainable Office .</t>
  </si>
  <si>
    <t>Taxi/ mini cab</t>
  </si>
  <si>
    <t>Good practice benchmark (quantity per person per year)</t>
  </si>
  <si>
    <t>Walking</t>
  </si>
  <si>
    <t>less than 200kg</t>
  </si>
  <si>
    <t>Moped/ Motorbike</t>
  </si>
  <si>
    <t>Public transport £/passenger km benchmarks</t>
  </si>
  <si>
    <t xml:space="preserve">Where only data on total cost by travel mode is available, and in the absence of any more accurate local estimates, the following estimates of £/passenger km can be used to estimate kilometres travelled from spend. </t>
  </si>
  <si>
    <t>Cycling</t>
  </si>
  <si>
    <t>Work from home</t>
  </si>
  <si>
    <t>£/passenger km</t>
  </si>
  <si>
    <t>Other</t>
  </si>
  <si>
    <t>Table 12.10 Revenue per passenger kilometre and revenue per passenger journey. Office of Rail and Road. UK Government</t>
  </si>
  <si>
    <t>WRC estimation from Department for Transport and National Statistics – Table BUS0304. https://www.gov.uk/government/statistical-data-sets/buses-statistical-tables-index</t>
  </si>
  <si>
    <t>https://www.walesonline.co.uk/news/wales-news/dragon-taxis-cardiff-cost-fares-17767633</t>
  </si>
  <si>
    <t>Air</t>
  </si>
  <si>
    <t>-</t>
  </si>
  <si>
    <t>http://www.webflyer.com/travel/mileage_calculator/</t>
  </si>
  <si>
    <t xml:space="preserve">Calculate distance travelled for each of the journeys taken. Option to choose top ten frequent trips and work out an average £/passenger km to apply to remainder. </t>
  </si>
  <si>
    <t>Waste density table</t>
  </si>
  <si>
    <t>Density factors for waste</t>
  </si>
  <si>
    <t>EWC code</t>
  </si>
  <si>
    <t>Density conversion factor (kg per litre)</t>
  </si>
  <si>
    <t>20 01 01</t>
  </si>
  <si>
    <t>paper and cardboard</t>
  </si>
  <si>
    <t>20 01 02</t>
  </si>
  <si>
    <t>20 01 08</t>
  </si>
  <si>
    <t>biodegradable kitchen and canteen waste</t>
  </si>
  <si>
    <t>20 01 10</t>
  </si>
  <si>
    <t>20 01 36</t>
  </si>
  <si>
    <t>discarded electrical and electronic equipment other than those mentioned in 20 01 21, 20 01 23 and 20 01 35</t>
  </si>
  <si>
    <t>20 01 38</t>
  </si>
  <si>
    <t>wood other than that mentioned in 20 01 37</t>
  </si>
  <si>
    <t>20 01 39</t>
  </si>
  <si>
    <t>20 01 40</t>
  </si>
  <si>
    <t>20 02 01</t>
  </si>
  <si>
    <t>biodegradable waste</t>
  </si>
  <si>
    <t>20 03 01</t>
  </si>
  <si>
    <t>mixed municipal waste</t>
  </si>
  <si>
    <t>General lists</t>
  </si>
  <si>
    <t>Organisational data</t>
  </si>
  <si>
    <t>Business travel, commuting and home working</t>
  </si>
  <si>
    <t>Supply chain</t>
  </si>
  <si>
    <t>Product Category Lookup</t>
  </si>
  <si>
    <t>RSD lookup by tier</t>
  </si>
  <si>
    <t>Ease</t>
  </si>
  <si>
    <t>Yesno</t>
  </si>
  <si>
    <t>Reporting year</t>
  </si>
  <si>
    <t>Land use types</t>
  </si>
  <si>
    <t>Buildings ownership</t>
  </si>
  <si>
    <t>Organisationalwaste</t>
  </si>
  <si>
    <t>Municipalwaste</t>
  </si>
  <si>
    <t>Projectwaste</t>
  </si>
  <si>
    <t>Wasteunits</t>
  </si>
  <si>
    <t>Businesstravel</t>
  </si>
  <si>
    <t>Streetlights</t>
  </si>
  <si>
    <t>Methodologyall</t>
  </si>
  <si>
    <t>Health Board or Trust</t>
  </si>
  <si>
    <t>Traffic signs</t>
  </si>
  <si>
    <t>Data incomplete but easy to collect and process</t>
  </si>
  <si>
    <t>National Park</t>
  </si>
  <si>
    <t>Other public lighting</t>
  </si>
  <si>
    <t>Public Transport</t>
  </si>
  <si>
    <t>Data incomplete and requires effort to collect and processs</t>
  </si>
  <si>
    <t>Fire and Rescue Service</t>
  </si>
  <si>
    <t>All fleet</t>
  </si>
  <si>
    <t>Renewable CHP heat</t>
  </si>
  <si>
    <t>Methodologytier1</t>
  </si>
  <si>
    <t>Data unavailable in the timescales</t>
  </si>
  <si>
    <t>Renewableheattechnology</t>
  </si>
  <si>
    <t>Purchasedrenewableheatagreement</t>
  </si>
  <si>
    <t>Availability of data unknown</t>
  </si>
  <si>
    <t>Generator</t>
  </si>
  <si>
    <t>Air source heat pump</t>
  </si>
  <si>
    <t>Emission source not relevant to our organisation</t>
  </si>
  <si>
    <t>Welsh Government</t>
  </si>
  <si>
    <t>Heat purchased from neighbouring site</t>
  </si>
  <si>
    <t>Methodologytier12</t>
  </si>
  <si>
    <t>Ground source heat pump</t>
  </si>
  <si>
    <t>Delivered heat contract</t>
  </si>
  <si>
    <t>Regions</t>
  </si>
  <si>
    <t>Privatecarunits</t>
  </si>
  <si>
    <t>Privatecarcategory1</t>
  </si>
  <si>
    <t>Privatecarcategory2 - multiple</t>
  </si>
  <si>
    <t>Solar thermal</t>
  </si>
  <si>
    <t>Livestockunits</t>
  </si>
  <si>
    <t>Biomass boiler</t>
  </si>
  <si>
    <t>Mid Wales</t>
  </si>
  <si>
    <t>Poolcarfuel</t>
  </si>
  <si>
    <t>PoolcarSize</t>
  </si>
  <si>
    <t>Biogas boiler</t>
  </si>
  <si>
    <t>Methdologytier2</t>
  </si>
  <si>
    <t>South East Wales</t>
  </si>
  <si>
    <t>FarmlandSoilsunits</t>
  </si>
  <si>
    <t>South West Wales</t>
  </si>
  <si>
    <t>Renewableelectricitytechnology</t>
  </si>
  <si>
    <t>Purchasedrenewableelectricityagreement</t>
  </si>
  <si>
    <t>All Wales</t>
  </si>
  <si>
    <t>Wind</t>
  </si>
  <si>
    <t>Private wire</t>
  </si>
  <si>
    <t>Methodologytier23</t>
  </si>
  <si>
    <t>Solar PV</t>
  </si>
  <si>
    <t>Power purchase agreement</t>
  </si>
  <si>
    <t>Hydro</t>
  </si>
  <si>
    <t xml:space="preserve">Sleeved </t>
  </si>
  <si>
    <t>Blaenau Gwent County Borough Council</t>
  </si>
  <si>
    <t>Hirecarunits</t>
  </si>
  <si>
    <t>Hirecarcategory1</t>
  </si>
  <si>
    <t>Hirecarcategory2 - multiple</t>
  </si>
  <si>
    <t>Green tarrif</t>
  </si>
  <si>
    <t>Bridgend County Borough Council</t>
  </si>
  <si>
    <t>REGO tariff</t>
  </si>
  <si>
    <t>Methodologytier3</t>
  </si>
  <si>
    <t>Cardiff Council</t>
  </si>
  <si>
    <t>Vanfuel</t>
  </si>
  <si>
    <t>Vansize</t>
  </si>
  <si>
    <t>Biogas CHP</t>
  </si>
  <si>
    <t>Carmarthenshire County Council</t>
  </si>
  <si>
    <t>CHP plant</t>
  </si>
  <si>
    <t>Disposal routes</t>
  </si>
  <si>
    <t>Ceredigion County Council</t>
  </si>
  <si>
    <t>Swansea Council</t>
  </si>
  <si>
    <t>Biomass</t>
  </si>
  <si>
    <t>Conwy County Borough Council</t>
  </si>
  <si>
    <t>Farmlandsoils</t>
  </si>
  <si>
    <t>Denbighshire County Council</t>
  </si>
  <si>
    <t>Motorbikeunits</t>
  </si>
  <si>
    <t>Motorbikecategory1</t>
  </si>
  <si>
    <t>Motorbikecategory2 - multiple</t>
  </si>
  <si>
    <t xml:space="preserve">Industrial gases, inorganics and fertilisers (all inorganic chemicals) - 20.11/13/15      </t>
  </si>
  <si>
    <t>Flintshire County Council</t>
  </si>
  <si>
    <t xml:space="preserve">Petrochemicals - 20.14/16/17/60             </t>
  </si>
  <si>
    <t>Cyngor Gwynedd Council</t>
  </si>
  <si>
    <t>HGVsize</t>
  </si>
  <si>
    <t xml:space="preserve">Dyestuffs, agro-chemicals - 20.12/20            </t>
  </si>
  <si>
    <t>Farmland Soils</t>
  </si>
  <si>
    <t>Merthyr Tydfil County Borough Council</t>
  </si>
  <si>
    <t>Naturalgasunits</t>
  </si>
  <si>
    <t>Naturalgascategory1</t>
  </si>
  <si>
    <t>HGVfuel</t>
  </si>
  <si>
    <t>Monmouthshire County Council</t>
  </si>
  <si>
    <t>Neath Port Talbot County Borough Council</t>
  </si>
  <si>
    <t>Publictransportunits</t>
  </si>
  <si>
    <t>Publictransportcategory1</t>
  </si>
  <si>
    <t>Publictransporttaxi</t>
  </si>
  <si>
    <t>Publictransportbus</t>
  </si>
  <si>
    <t>Publictransportrail</t>
  </si>
  <si>
    <t>Publictransportferry</t>
  </si>
  <si>
    <t>Newport City Council</t>
  </si>
  <si>
    <t>Allfleetfuel</t>
  </si>
  <si>
    <t>Pembrokeshire County Council</t>
  </si>
  <si>
    <t>LPGunits</t>
  </si>
  <si>
    <t>LPGcategory1</t>
  </si>
  <si>
    <t>Poolcarsizefuel</t>
  </si>
  <si>
    <t xml:space="preserve">Glass, refractory, clay, other porcelain and ceramic, stone and abrasive products - 23.1-4/7-9   </t>
  </si>
  <si>
    <t>Powys County Council</t>
  </si>
  <si>
    <t>Torfaen County Borough Council</t>
  </si>
  <si>
    <t>Rhondda Cynon Taf County Borough Council</t>
  </si>
  <si>
    <t>Vale of Glamorgan Council</t>
  </si>
  <si>
    <t xml:space="preserve">Fabricated metal products, excl. machinery and equipment and weapons &amp; ammunition - 25.1-3/25.5-9   </t>
  </si>
  <si>
    <t>Wrexham County Borough Council</t>
  </si>
  <si>
    <t>Keroseneunits</t>
  </si>
  <si>
    <t>Kerosenecategory1</t>
  </si>
  <si>
    <t>Pembrokeshire College</t>
  </si>
  <si>
    <t>University of South Wales</t>
  </si>
  <si>
    <t>Cardiff Metropolitan University</t>
  </si>
  <si>
    <t>Equipmentfuel</t>
  </si>
  <si>
    <t>Swansea University</t>
  </si>
  <si>
    <t>Gasoilcategory1</t>
  </si>
  <si>
    <t>Vansizefuel</t>
  </si>
  <si>
    <t>Cardiff University</t>
  </si>
  <si>
    <t>Bangor University</t>
  </si>
  <si>
    <t>Aberystwyth University</t>
  </si>
  <si>
    <t>Flightshorthaul</t>
  </si>
  <si>
    <t>Dieselcategory1</t>
  </si>
  <si>
    <t>Flightunits</t>
  </si>
  <si>
    <t>Flightcategory1</t>
  </si>
  <si>
    <t>Flightdomestic</t>
  </si>
  <si>
    <t>Flightlonghaul</t>
  </si>
  <si>
    <t>Glybdwr Wrexham University</t>
  </si>
  <si>
    <t>Short haul</t>
  </si>
  <si>
    <t>Generatorfuel</t>
  </si>
  <si>
    <t>HGVsizefuel</t>
  </si>
  <si>
    <t>Long haul</t>
  </si>
  <si>
    <t>Petrolcategory1</t>
  </si>
  <si>
    <t>Waste Soils</t>
  </si>
  <si>
    <t>Poolcarunits</t>
  </si>
  <si>
    <t>Welsh Revenue Authority</t>
  </si>
  <si>
    <t>Biodieselunits</t>
  </si>
  <si>
    <t>Gridelectricitycategory1</t>
  </si>
  <si>
    <t>Centre for Digital Public Services</t>
  </si>
  <si>
    <t>Estyn</t>
  </si>
  <si>
    <t>Life Sciences Hub Wales</t>
  </si>
  <si>
    <t>Biopetrolunits</t>
  </si>
  <si>
    <t>Heatandsteamcategory1</t>
  </si>
  <si>
    <t>Vanunits</t>
  </si>
  <si>
    <t>Careers Wales</t>
  </si>
  <si>
    <t>Qualification Wales</t>
  </si>
  <si>
    <t>Social care Wales</t>
  </si>
  <si>
    <t>Grid electricity units</t>
  </si>
  <si>
    <t>Transport for Wales</t>
  </si>
  <si>
    <t>Bioenergycategory1</t>
  </si>
  <si>
    <t>HGVunits</t>
  </si>
  <si>
    <t>National Library of Wales</t>
  </si>
  <si>
    <t>Sports Council for Wales</t>
  </si>
  <si>
    <t>Heat and steam units</t>
  </si>
  <si>
    <t>Arts Council for Wales</t>
  </si>
  <si>
    <t>Natural Resources Wales</t>
  </si>
  <si>
    <t>Watercategory1</t>
  </si>
  <si>
    <t>Higher Education Funding Council for Wales</t>
  </si>
  <si>
    <t>Bioenergyunits</t>
  </si>
  <si>
    <t>Betsi Cadwaladr University Health Board</t>
  </si>
  <si>
    <t>Cardiff and Vale University Health Board</t>
  </si>
  <si>
    <t>Cwm Taf Morgannwg University Health Board</t>
  </si>
  <si>
    <t>Health Education and Improvement Wales</t>
  </si>
  <si>
    <t>Waterunits</t>
  </si>
  <si>
    <t>Biopetrolcategory1</t>
  </si>
  <si>
    <t>Hywel Dda University Health Board</t>
  </si>
  <si>
    <t xml:space="preserve">Velindre University NHS Trust </t>
  </si>
  <si>
    <t>Digital Health and Care Wales</t>
  </si>
  <si>
    <t>Biodieselcategory1</t>
  </si>
  <si>
    <t>Swansea Bay University Health Board</t>
  </si>
  <si>
    <t>Aneurin Bevan University Health Board</t>
  </si>
  <si>
    <t>Powys Teaching Health Board</t>
  </si>
  <si>
    <t>Welsh Ambulance Services NHS Trust</t>
  </si>
  <si>
    <t>Public Health Wales NHS Trust</t>
  </si>
  <si>
    <t>Brecon Beacons National Park Authority</t>
  </si>
  <si>
    <t>Pembrokeshire Coast National Park Authority</t>
  </si>
  <si>
    <t>Snowdonia National Park Authority</t>
  </si>
  <si>
    <t>University of Wales Trinity Saint David</t>
  </si>
  <si>
    <t>Mid &amp; West Wales Fire &amp; Rescue</t>
  </si>
  <si>
    <t>Caerphilly County Borough Council CBC</t>
  </si>
  <si>
    <t>North Wales Fire &amp; Rescue</t>
  </si>
  <si>
    <t>South Wales Fire &amp; Rescue</t>
  </si>
  <si>
    <t>University or College</t>
  </si>
  <si>
    <t>Not used2</t>
  </si>
  <si>
    <t>Coalunits</t>
  </si>
  <si>
    <t>Coalcategory1</t>
  </si>
  <si>
    <t>UK electricity T&amp;D for Evs</t>
  </si>
  <si>
    <t>UK electricity for Evs</t>
  </si>
  <si>
    <t>Waste EF not including transport</t>
  </si>
  <si>
    <t>Local authority buildings</t>
  </si>
  <si>
    <t>Town Hall</t>
  </si>
  <si>
    <t>Community Centres</t>
  </si>
  <si>
    <t>Residential care homes</t>
  </si>
  <si>
    <t>Depots</t>
  </si>
  <si>
    <t>Sheltered housing</t>
  </si>
  <si>
    <t>Public buildings</t>
  </si>
  <si>
    <t>Library</t>
  </si>
  <si>
    <t>Museum</t>
  </si>
  <si>
    <t>Fire station</t>
  </si>
  <si>
    <t>Police station</t>
  </si>
  <si>
    <t>Local Government office</t>
  </si>
  <si>
    <t>Air conditioned, standard</t>
  </si>
  <si>
    <t>Schools</t>
  </si>
  <si>
    <t>Primary</t>
  </si>
  <si>
    <t>Secondary</t>
  </si>
  <si>
    <t>Special</t>
  </si>
  <si>
    <t>Secondary, with swimming pool</t>
  </si>
  <si>
    <t>Hospital</t>
  </si>
  <si>
    <t>General Acute</t>
  </si>
  <si>
    <t>Teaching/specialist</t>
  </si>
  <si>
    <t>Cottage hospital</t>
  </si>
  <si>
    <t>Education (Higher)</t>
  </si>
  <si>
    <t>Catering / bar</t>
  </si>
  <si>
    <t>Lecture room/conference facility</t>
  </si>
  <si>
    <t>Library or learning centre</t>
  </si>
  <si>
    <t>Sports and recreation</t>
  </si>
  <si>
    <t>Swimming pool</t>
  </si>
  <si>
    <t>Combined centre</t>
  </si>
  <si>
    <t>Dry sports centre (local)</t>
  </si>
  <si>
    <t>Fossil-thermal typical benchmark (kWh/m2)</t>
  </si>
  <si>
    <t>Electricity typical benchmark (kWh/m2)</t>
  </si>
  <si>
    <t>Note: Values are correct as of 20/05/2022</t>
  </si>
  <si>
    <t>17 01 07</t>
  </si>
  <si>
    <t xml:space="preserve">mixtures of concrete, bricks, tiles and ceramics other than those mentioned in 17 01 06 </t>
  </si>
  <si>
    <t>18 01 02</t>
  </si>
  <si>
    <t>Body parts and organs including blood bags and blood preserves (except 18 01 03)</t>
  </si>
  <si>
    <t>17 06 01*</t>
  </si>
  <si>
    <t>insulation materials containing asbestos</t>
  </si>
  <si>
    <t>17 03 02</t>
  </si>
  <si>
    <t>bituminous mixtures other than those mentioned in 17 03 01</t>
  </si>
  <si>
    <t>17 09 04</t>
  </si>
  <si>
    <t>mixed construction and demolition wastes other than those mentioned in 17 09 01, 17 09 02 and 17 09 03</t>
  </si>
  <si>
    <t>20 01 33*</t>
  </si>
  <si>
    <t>batteries and accumulators included in 16 06 01, 16 06 02 or 16 06 03 and unsorted batteries and accumulators containing these batteries</t>
  </si>
  <si>
    <t>17 01 02</t>
  </si>
  <si>
    <t>bricks</t>
  </si>
  <si>
    <t>18 01 03*</t>
  </si>
  <si>
    <t>wastes whose collection and disposal is subject to special requirements in order to prevent infection</t>
  </si>
  <si>
    <t>clothes</t>
  </si>
  <si>
    <t>17 01 01</t>
  </si>
  <si>
    <t>concrete</t>
  </si>
  <si>
    <t>17 06 04</t>
  </si>
  <si>
    <t>insulation materials other than those mentioned in 17 06 01 and 17 06 03</t>
  </si>
  <si>
    <t>18 01 01</t>
  </si>
  <si>
    <t>sharps (except 18 01 03)</t>
  </si>
  <si>
    <t>20 01 32</t>
  </si>
  <si>
    <t>medicines other than those mentioned in 20 01 31</t>
  </si>
  <si>
    <t>17 04 07</t>
  </si>
  <si>
    <t>mixed metals</t>
  </si>
  <si>
    <t>13 03 10*</t>
  </si>
  <si>
    <t>other insulating and heat transmission oils</t>
  </si>
  <si>
    <t>glass</t>
  </si>
  <si>
    <t>metals</t>
  </si>
  <si>
    <t>plastics</t>
  </si>
  <si>
    <t>18 01 04</t>
  </si>
  <si>
    <t>wastes whose collection and disposal is not subject to special requirements in order to prevent infection(for example dressings, plaster casts, linen, disposable clothing, diapers)</t>
  </si>
  <si>
    <t>19 12 07</t>
  </si>
  <si>
    <t>wood other than that mentioned in 19 12 06</t>
  </si>
  <si>
    <t>20 02 02</t>
  </si>
  <si>
    <t>soil and stones</t>
  </si>
  <si>
    <t>16 01 03</t>
  </si>
  <si>
    <t>end-of-life tyres</t>
  </si>
  <si>
    <t>Waste Description</t>
  </si>
  <si>
    <t>This sheet contains the following tables:</t>
  </si>
  <si>
    <t>Waste density factors</t>
  </si>
  <si>
    <t>https://www.cibse.org/Knowledge/Benchmarking</t>
  </si>
  <si>
    <t xml:space="preserve">Where your organisation has information on the estimated volume of waste collected rather than the weight, the following density factors can be used to estimate the weight.
These density conversion factors were developed by the Environment Agency for the 1998/99 commercial and industrial waste survey in England and have since been used across the UK by all of the Agencies including SEPA. The factors were derived from a number of different sources including published research, advice from the waste management industry and some original research at the time (source: https://www.sepa.org.uk/media/163323/uk-conversion-factors-for-waste.xlsx). 		</t>
  </si>
  <si>
    <r>
      <t>Total EF (kgCO</t>
    </r>
    <r>
      <rPr>
        <b/>
        <vertAlign val="subscript"/>
        <sz val="11"/>
        <color rgb="FFFFFFFF"/>
        <rFont val="Calibri"/>
        <family val="2"/>
        <scheme val="minor"/>
      </rPr>
      <t>2</t>
    </r>
    <r>
      <rPr>
        <b/>
        <sz val="11"/>
        <color rgb="FFFFFFFF"/>
        <rFont val="Calibri"/>
        <family val="2"/>
        <scheme val="minor"/>
      </rPr>
      <t>e/unit)</t>
    </r>
  </si>
  <si>
    <r>
      <t>Total emissions (kgCO</t>
    </r>
    <r>
      <rPr>
        <b/>
        <vertAlign val="subscript"/>
        <sz val="11"/>
        <color rgb="FFFFFFFF"/>
        <rFont val="Calibri"/>
        <family val="2"/>
        <scheme val="minor"/>
      </rPr>
      <t>2</t>
    </r>
    <r>
      <rPr>
        <b/>
        <sz val="11"/>
        <color rgb="FFFFFFFF"/>
        <rFont val="Calibri"/>
        <family val="2"/>
        <scheme val="minor"/>
      </rPr>
      <t>e)</t>
    </r>
  </si>
  <si>
    <r>
      <t>Emission data breakdown (kg CO</t>
    </r>
    <r>
      <rPr>
        <b/>
        <vertAlign val="subscript"/>
        <sz val="12"/>
        <color rgb="FF636363"/>
        <rFont val="Calibri"/>
        <family val="2"/>
        <scheme val="minor"/>
      </rPr>
      <t>2</t>
    </r>
    <r>
      <rPr>
        <b/>
        <sz val="12"/>
        <color rgb="FF636363"/>
        <rFont val="Calibri"/>
        <family val="2"/>
        <scheme val="minor"/>
      </rPr>
      <t>e)</t>
    </r>
  </si>
  <si>
    <t>1%</t>
  </si>
  <si>
    <t>2%</t>
  </si>
  <si>
    <t>3%</t>
  </si>
  <si>
    <t>4%</t>
  </si>
  <si>
    <t>5%</t>
  </si>
  <si>
    <t>7.5%</t>
  </si>
  <si>
    <t>10%</t>
  </si>
  <si>
    <t>12.5%</t>
  </si>
  <si>
    <t>20%</t>
  </si>
  <si>
    <t>15%</t>
  </si>
  <si>
    <t>25%</t>
  </si>
  <si>
    <r>
      <t>Emission factor (kgCO</t>
    </r>
    <r>
      <rPr>
        <b/>
        <vertAlign val="subscript"/>
        <sz val="10"/>
        <color theme="0"/>
        <rFont val="Calibri"/>
        <family val="2"/>
        <scheme val="minor"/>
      </rPr>
      <t>2</t>
    </r>
    <r>
      <rPr>
        <b/>
        <sz val="10"/>
        <color theme="0"/>
        <rFont val="Calibri"/>
        <family val="2"/>
        <scheme val="minor"/>
      </rPr>
      <t>e per £ spent)</t>
    </r>
  </si>
  <si>
    <r>
      <t>Total kg CO</t>
    </r>
    <r>
      <rPr>
        <b/>
        <vertAlign val="subscript"/>
        <sz val="10"/>
        <color theme="0"/>
        <rFont val="Arial"/>
        <family val="2"/>
      </rPr>
      <t>2</t>
    </r>
    <r>
      <rPr>
        <b/>
        <sz val="10"/>
        <color theme="0"/>
        <rFont val="Arial"/>
        <family val="2"/>
      </rPr>
      <t>e</t>
    </r>
  </si>
  <si>
    <t>SupplyChain Tier2RSD</t>
  </si>
  <si>
    <t>RenewableCHPelectricitytechnology</t>
  </si>
  <si>
    <t>RenewableCHPheattechnology</t>
  </si>
  <si>
    <t>Rounded to 3.d.p</t>
  </si>
  <si>
    <t xml:space="preserve">The source of building energy benchmarks is the Chartered Institution of Building Services (CIBSE) Energy Benchmarking tool. Organisations are free to use alternative sources of benchmark energy data but any data sources should be carefully documented, along with rationale for selection. Benchmarks for other building types are available through the tool, which can be accessed via the link below:
</t>
  </si>
  <si>
    <t>NHS Wales Shared Services Partnership</t>
  </si>
  <si>
    <t>Amgueddfa Cymru - Musuem Wales</t>
  </si>
  <si>
    <t>Local Democracy and Boundary Comission for Wales</t>
  </si>
  <si>
    <t>Audit Wales</t>
  </si>
  <si>
    <t>Development Bank of Wales</t>
  </si>
  <si>
    <t>Royal Commission</t>
  </si>
  <si>
    <t>Financial year 2022/23</t>
  </si>
  <si>
    <t>Academic year 2021/22</t>
  </si>
  <si>
    <t>F-gas</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</si>
  <si>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</si>
  <si>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</si>
  <si>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</si>
  <si>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</si>
  <si>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</si>
  <si>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</si>
  <si>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</si>
  <si>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</si>
  <si>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</si>
  <si>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</si>
  <si>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</si>
  <si>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</si>
  <si>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</si>
  <si>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</si>
  <si>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</si>
  <si>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</si>
  <si>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</si>
  <si>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</si>
  <si>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</si>
  <si>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</si>
  <si>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PFC-9-1-18</t>
  </si>
  <si>
    <t>Perfluorocyclopropane</t>
  </si>
  <si>
    <t>Sulphur hexafluoride (SF6)</t>
  </si>
  <si>
    <t>HFC-152</t>
  </si>
  <si>
    <t>HFC-161</t>
  </si>
  <si>
    <t>HFC-236cb</t>
  </si>
  <si>
    <t>HFC-236ea</t>
  </si>
  <si>
    <t>HFC-245ca</t>
  </si>
  <si>
    <t>HFC-365mfc</t>
  </si>
  <si>
    <t>Nitrogen trifluoride</t>
  </si>
  <si>
    <t>R401A</t>
  </si>
  <si>
    <t>R401B</t>
  </si>
  <si>
    <t>R401C</t>
  </si>
  <si>
    <t>R402A</t>
  </si>
  <si>
    <t>R402B</t>
  </si>
  <si>
    <t>R403A</t>
  </si>
  <si>
    <t>R403B</t>
  </si>
  <si>
    <t>R404A</t>
  </si>
  <si>
    <t>R405A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</si>
  <si>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</si>
  <si>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</si>
  <si>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</si>
  <si>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</si>
  <si>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</si>
  <si>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</si>
  <si>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</si>
  <si>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</si>
  <si>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</si>
  <si>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</si>
  <si>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</si>
  <si>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</si>
  <si>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</si>
  <si>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</si>
  <si>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</si>
  <si>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</si>
  <si>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</si>
  <si>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</si>
  <si>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</si>
  <si>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</si>
  <si>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</si>
  <si>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</si>
  <si>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</si>
  <si>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</si>
  <si>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</si>
  <si>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</si>
  <si>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</si>
  <si>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</si>
  <si>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</si>
  <si>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</si>
  <si>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</si>
  <si>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</si>
  <si>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</si>
  <si>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</si>
  <si>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</si>
  <si>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</si>
  <si>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</si>
  <si>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</si>
  <si>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</si>
  <si>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</si>
  <si>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</si>
  <si>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</si>
  <si>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</si>
  <si>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</si>
  <si>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</si>
  <si>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</si>
  <si>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</si>
  <si>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</si>
  <si>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</si>
  <si>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</si>
  <si>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</si>
  <si>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</si>
  <si>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</si>
  <si>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</si>
  <si>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</si>
  <si>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</si>
  <si>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</si>
  <si>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</si>
  <si>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</si>
  <si>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</si>
  <si>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</si>
  <si>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</si>
  <si>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</si>
  <si>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</si>
  <si>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</si>
  <si>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</si>
  <si>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</si>
  <si>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</si>
  <si>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R507A</t>
  </si>
  <si>
    <t>R508A</t>
  </si>
  <si>
    <t>R508B</t>
  </si>
  <si>
    <t>R509A</t>
  </si>
  <si>
    <t>R510A</t>
  </si>
  <si>
    <t>R511A</t>
  </si>
  <si>
    <t>R512A</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</si>
  <si>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</si>
  <si>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</si>
  <si>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</si>
  <si>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</si>
  <si>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</si>
  <si>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</si>
  <si>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</si>
  <si>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</si>
  <si>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</si>
  <si>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</si>
  <si>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</si>
  <si>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</si>
  <si>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</si>
  <si>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</si>
  <si>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</si>
  <si>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</si>
  <si>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</si>
  <si>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HCFC-225ca</t>
  </si>
  <si>
    <t>HCFC-225cb</t>
  </si>
  <si>
    <t>HCFC-21</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</si>
  <si>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</si>
  <si>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</si>
  <si>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</si>
  <si>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</si>
  <si>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</si>
  <si>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</si>
  <si>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</si>
  <si>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</si>
  <si>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</si>
  <si>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</si>
  <si>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</si>
  <si>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</si>
  <si>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</si>
  <si>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</si>
  <si>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</si>
  <si>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Trifluoromethyl sulphur pentafluoride</t>
  </si>
  <si>
    <t>PFPMIE</t>
  </si>
  <si>
    <t>Dimethylether</t>
  </si>
  <si>
    <t>Methylene chloride</t>
  </si>
  <si>
    <t>Methyl chloride</t>
  </si>
  <si>
    <t>R290 = propane</t>
  </si>
  <si>
    <t>R600A = isobutane</t>
  </si>
  <si>
    <t>R600 = butane</t>
  </si>
  <si>
    <t>R601 = pentane</t>
  </si>
  <si>
    <t>R601A = isopentane</t>
  </si>
  <si>
    <t>R170 = ethane</t>
  </si>
  <si>
    <t>R1270 = propene</t>
  </si>
  <si>
    <t>Refrigerant &amp; other</t>
  </si>
  <si>
    <t>tonne.km</t>
  </si>
  <si>
    <t>Rigid &gt;17 tonnes</t>
  </si>
  <si>
    <t>All</t>
  </si>
  <si>
    <t>Waste collection</t>
  </si>
  <si>
    <t>Nitrous oxide</t>
  </si>
  <si>
    <t>Anaesthetic gas</t>
  </si>
  <si>
    <t>Isoflurane</t>
  </si>
  <si>
    <t>Desflurane</t>
  </si>
  <si>
    <t>Sevoflurane</t>
  </si>
  <si>
    <t>Othergases</t>
  </si>
  <si>
    <t>F gas</t>
  </si>
  <si>
    <t>FgasUnits</t>
  </si>
  <si>
    <t>AnaestheticgasUnits</t>
  </si>
  <si>
    <t>Supply chain - Tier 1 and Tier 2 combined</t>
  </si>
  <si>
    <t>Tier 1 &amp; 2 combined emission</t>
  </si>
  <si>
    <t>Kerosene is listed as burning oil in the conversion factors dataset</t>
  </si>
  <si>
    <t>Emission factor unit is litres rather than kWh. Converted to kWh using gross CV kWh/litre from fuel properties sheet</t>
  </si>
  <si>
    <t>50% laden</t>
  </si>
  <si>
    <t>R1234yf</t>
  </si>
  <si>
    <t>R1234ze</t>
  </si>
  <si>
    <t>There is no specific figure available, however it is known that the GWP factor is less than 1 kg CO2e</t>
  </si>
  <si>
    <t xml:space="preserve">Products of agriculture, hunting and related services         </t>
  </si>
  <si>
    <t xml:space="preserve">Products of forestry, logging and related services         </t>
  </si>
  <si>
    <t xml:space="preserve">Fish and other fishing products; aquaculture products; support services to fishing     </t>
  </si>
  <si>
    <t xml:space="preserve">Coal and lignite             </t>
  </si>
  <si>
    <t xml:space="preserve">Crude petroleum and natural gas           </t>
  </si>
  <si>
    <t xml:space="preserve">Textiles               </t>
  </si>
  <si>
    <t xml:space="preserve">Leather and related products            </t>
  </si>
  <si>
    <t>Wood and of products of wood and cork, except furniture; articles of straw and plaiting materials</t>
  </si>
  <si>
    <t xml:space="preserve">Other chemical products             </t>
  </si>
  <si>
    <t xml:space="preserve">Cement, lime, plaster and articles of concrete, cement and plaster </t>
  </si>
  <si>
    <t xml:space="preserve">Gas; distribution of gaseous fuels through mains; steam and air conditioning supply    </t>
  </si>
  <si>
    <t xml:space="preserve">Buildings and building construction works           </t>
  </si>
  <si>
    <t xml:space="preserve">Constructions and construction works for civil engineering         </t>
  </si>
  <si>
    <t xml:space="preserve">Specialised construction works             </t>
  </si>
  <si>
    <t xml:space="preserve">Rail transport services             </t>
  </si>
  <si>
    <t xml:space="preserve">Land transport services and transport services via pipelines, excluding rail transport     </t>
  </si>
  <si>
    <t xml:space="preserve">Water transport services             </t>
  </si>
  <si>
    <t xml:space="preserve">Air transport services             </t>
  </si>
  <si>
    <t xml:space="preserve">Motion picture, video and TV programme production services, sound recording &amp; music publishing   </t>
  </si>
  <si>
    <t xml:space="preserve">Programming and broadcasting services            </t>
  </si>
  <si>
    <t xml:space="preserve">Insurance and reinsurance services, except compulsory social security      </t>
  </si>
  <si>
    <t xml:space="preserve">Residential care services             </t>
  </si>
  <si>
    <t xml:space="preserve">Social work services without accommodation           </t>
  </si>
  <si>
    <t>06</t>
  </si>
  <si>
    <t>10.2 -3</t>
  </si>
  <si>
    <t>42.1-2</t>
  </si>
  <si>
    <t>65.1-2</t>
  </si>
  <si>
    <t>Vancategory1</t>
  </si>
  <si>
    <t>vanaverage</t>
  </si>
  <si>
    <t>If you purchase renewable electricity that is supplied through the UK grid, you must also include this electricity in the buildings table.</t>
  </si>
  <si>
    <t>Fleet and Equipment</t>
  </si>
  <si>
    <t>Buildings, fleet &amp; equipment</t>
  </si>
  <si>
    <t>Business Travel &amp; School Trips</t>
  </si>
  <si>
    <t>Business travel &amp; School Trips</t>
  </si>
  <si>
    <t>Total Emissions</t>
  </si>
  <si>
    <t xml:space="preserve">Cyflwyniad a Gwybodaeth am yr Ysgol </t>
  </si>
  <si>
    <t>Gwybodaeth am yr Ysgol</t>
  </si>
  <si>
    <t xml:space="preserve">Cyfnod Adrodd (12 mis) </t>
  </si>
  <si>
    <t xml:space="preserve">Y sawl sy’n gyfrifol am yr adroddiad hwn  </t>
  </si>
  <si>
    <t xml:space="preserve">Cyfeiriad e-bost y sawl sy’n gyfrifol am yr adroddiad hwn  </t>
  </si>
  <si>
    <t>Sylwadau Cefnogol</t>
  </si>
  <si>
    <t xml:space="preserve">Rhowch sylwadau ar gwblhau’r cyfrifiad ac unrhyw dybiaethau sylweddol neu amcanestyniadau a wnaed.  </t>
  </si>
  <si>
    <t>Enw'r Ysgol</t>
  </si>
  <si>
    <t>Crynodeb o’r Canlyniadau</t>
  </si>
  <si>
    <t xml:space="preserve">Adeiladau, Fflyd ac Offer </t>
  </si>
  <si>
    <t>Gwastraff sefydliadol</t>
  </si>
  <si>
    <t>Allyriadau anuniongyrchol o’r gadwyn gyflenwi</t>
  </si>
  <si>
    <t>Mae tabl Haen 1 yn seiliedig ar ffactorau ‘Trawsnewid’ ffynhonnell Defra gan god SIC 2019, yn diweddaru Tabl 13’, wedi’i dalgrynnu i 3 d.p. 
www.gov.uk/government/statistics/uks-carbon-footprint  
Mae’r tabl hwn yn cynnwys allyriadau anuniongyrchol yn unig o’r gadwyn gyflenwi ac mae’n amcangyfrif o’r allyriadau GHG anuniongyrchol o ganlyniad i wariant ar gaffael gwasanaethau a nwyddau.  Roedd y ffactorau allyriadau wedi eu cyfrif gan Brifysgol Leeds fel diweddariad i’r set data a ddefnyddiwyd yn flaenorol oedd yn ffactorau ar gyfer 2011.   
Mae’r tabl hwn hefyd yn cynnwys nifer o weithgareddau sy’n debyg o gael eu cynnwys yn eich allyriadau gweithredol, fel tanwydd a ddefnyddir ac allyriadau a dosbarthiad, teithio a dŵr.  Os ydych wedi casglu’r gweithgaredd hwnnw yn y tab allyriadau Gweithredol, dylech symud y gwariant cysylltiedig o’r tabl hwn neu byddwch yn cyfrif eich allyriadau ddwywaith fel arall.   Fodd bynnag, gall y wybodaeth yn y tabl hwn barhau i fod yn ddefnyddiol ar gyfer cyfrif cychwynnol bras o bwysigrwydd cymharol y gweithgareddau hyn yn y lle cyntaf.</t>
  </si>
  <si>
    <t>Adnewyddadwy</t>
  </si>
  <si>
    <t xml:space="preserve">Codau Lliw Cell: </t>
  </si>
  <si>
    <t xml:space="preserve">Cell gwybodaeth neu gwestiwn </t>
  </si>
  <si>
    <t>Data gweithgaredd.   Cofnod data rhifol</t>
  </si>
  <si>
    <t xml:space="preserve">Cofnod gwybodaeth. Mae rhai celloedd yn cynnwys rhestrau cwymplen.  </t>
  </si>
  <si>
    <t>Data wedi’i gyfrifo</t>
  </si>
  <si>
    <t>Codau Lliw Cell:</t>
  </si>
  <si>
    <t xml:space="preserve">Os hoffech chi ddefnyddio dull haen uwch ar gyfer rhan o’ch allyriadau cadwyn gyflenwi, yna fe allwch chi gofnodi’r allyriadau yn y tabl isod ynghyd â’r gwariant cyfatebol sy’n gysylltiedig â’r allyriadau hynny. Fe ddylech chi gynnwys nodiadau bras am eich dull i gyfrifo’r allyriadau, neu gyfeiriad at wybodaeth bellach. 
PEIDIWCH Â thynnu’r gwariant hwn o’r data a adroddwyd yn nhabl Haen 1 (h.y. dylai allyriadau a adroddwyd arnynt yn y tabl isod gael eu cynnwys yn y cyfanswm gwariant ar gyfer y categori hwnnw yn y tabl uchod). Bydd allyriadau dyblyg yn cael eu cysoni wrth gasglu’r data. Bydd y colofnau ‘Grŵp cadwyn gyflenwi’ a ‘Cod SIC’ yn llenwi’n awtomatig unwaith y mae categori wedi’i ddewis yn y golofn ‘Categori Cynnyrch’. </t>
  </si>
  <si>
    <t>4th February 2025</t>
  </si>
  <si>
    <t>Medical gas</t>
  </si>
  <si>
    <t>Entonox</t>
  </si>
  <si>
    <t>Litres</t>
  </si>
  <si>
    <t>EDUCATION/TRAINING</t>
  </si>
  <si>
    <t>85</t>
  </si>
  <si>
    <t>Education/ Training Services</t>
  </si>
  <si>
    <t>Education/Training</t>
  </si>
  <si>
    <t>Employee Commuting</t>
  </si>
  <si>
    <t>Business Travel, School Trips &amp; employee commuting</t>
  </si>
  <si>
    <t>Teithio ar gyfer Busnes a Theithiau Gweithiwr</t>
  </si>
  <si>
    <r>
      <rPr>
        <b/>
        <sz val="11"/>
        <color rgb="FF636363"/>
        <rFont val="Calibri"/>
        <family val="2"/>
        <scheme val="minor"/>
      </rPr>
      <t>Canllawiau ar gyfer defnyddwyr</t>
    </r>
    <r>
      <rPr>
        <sz val="11"/>
        <color rgb="FF636363"/>
        <rFont val="Calibri"/>
        <family val="2"/>
        <scheme val="minor"/>
      </rPr>
      <t xml:space="preserve">
Mae’r daflen hon yn cynnwys dau dabl - Teithio ar gyfer Busnes a Theithiau Ysgol a Theithiau Gweithiwr.
(Mae Teithiau Ysgol wedi eu cynnwys o dan Deithiau Busnes). </t>
    </r>
  </si>
  <si>
    <t>Modern inhalation anesthetics: Potent greenhouse gases in the global atmosphere</t>
  </si>
  <si>
    <t>AKA Bioethanol. Emission factor unit is GJ rather than kWh. Converted to kWh using factor of 278. No conversion unit for litres so used relationship between emission factor for kWh and litres</t>
  </si>
  <si>
    <t>BEIS factor multiplied by 7.5 working hours per day, working 5 days per week for 52 weeks less 28 days of leave.</t>
  </si>
  <si>
    <t>EF for waste only includes transport (Conversion Factors 2024: Methodology, pg.121).</t>
  </si>
  <si>
    <t>Table 52, Methodology Paper for Conversion factors 2024. Transport distances and vehicles assumptions for waste transport. Landfill - 10km (1 way) distance, average HGV tonne km 50% laden factor</t>
  </si>
  <si>
    <t>Penthrox</t>
  </si>
  <si>
    <t>penthrox is 117.7 times lower than entonox for same volume - https://emj.bmj.com/content/emermed/41/2/69.full.pdf</t>
  </si>
  <si>
    <t>Source: UK Government GHG Conversion Factors for Company Reporting 2024</t>
  </si>
  <si>
    <r>
      <rPr>
        <b/>
        <sz val="11"/>
        <color rgb="FF636363"/>
        <rFont val="Calibri"/>
        <family val="2"/>
        <scheme val="minor"/>
      </rPr>
      <t>Canllawiau ar gyfer defnyddwyr
Mae cyfrifo allyriadau Cadwyni Cyflenwi’n ddewisol</t>
    </r>
    <r>
      <rPr>
        <sz val="11"/>
        <color rgb="FF636363"/>
        <rFont val="Calibri"/>
        <family val="2"/>
        <scheme val="minor"/>
      </rPr>
      <t>.</t>
    </r>
    <r>
      <rPr>
        <sz val="11"/>
        <color theme="1"/>
        <rFont val="Calibri"/>
        <family val="2"/>
        <scheme val="minor"/>
      </rPr>
      <t xml:space="preserve"> </t>
    </r>
    <r>
      <rPr>
        <sz val="11"/>
        <color rgb="FF636363"/>
        <rFont val="Calibri"/>
        <family val="2"/>
        <scheme val="minor"/>
      </rPr>
      <t xml:space="preserve">Mae’r daflen hon yn cynnwys dau dabl: Amcangyfrifon yn seiliedig ar wariant cadwyn gyflenwi Haen 1 a Haen 2 gydag amcangyfrifon mwy cywir yn seiliedig ar garbon a adroddwyd gan gyflenwyr.  Dylai ysgolion ddefnyddio </t>
    </r>
    <r>
      <rPr>
        <u/>
        <sz val="11"/>
        <color rgb="FF636363"/>
        <rFont val="Calibri"/>
        <family val="2"/>
        <scheme val="minor"/>
      </rPr>
      <t>Haen 1</t>
    </r>
    <r>
      <rPr>
        <sz val="11"/>
        <color rgb="FF636363"/>
        <rFont val="Calibri"/>
        <family val="2"/>
        <scheme val="minor"/>
      </rPr>
      <t xml:space="preserve"> yn unig nes bydd dull ar gyfer cyfrif Haen 2 yn cael ei ddarparu gan Gyngor Sir Caerfyrddin. </t>
    </r>
  </si>
  <si>
    <r>
      <rPr>
        <b/>
        <sz val="11"/>
        <color rgb="FF636363"/>
        <rFont val="Calibri"/>
        <family val="2"/>
        <scheme val="minor"/>
      </rPr>
      <t xml:space="preserve">Cyfarwyddiadau ar gyfer defnyddwyr: 
</t>
    </r>
    <r>
      <rPr>
        <sz val="11"/>
        <color rgb="FF636363"/>
        <rFont val="Calibri"/>
        <family val="2"/>
        <scheme val="minor"/>
      </rPr>
      <t xml:space="preserve">•  Rhowch y wybodaeth yn y celloedd oren a glas. Ni ddylid golygu’r celloedd llwyd.   Llenwch y golofn nodiadau yn disgrifio’r ffynhonnell ddata a ddefnyddir ac unrhyw eithriadau data.  
• Nodwch y swm a wariwyd ar wahanol gynnyrch a grwpiau gwasanaeth (union brisiau mewn £oedd, gan gynnwys TAW).
•Yn Haen 1, mae’r swm a wariwyd yn cael ei luosi yn awtomatig gan y ffactor trosi i gael y cyfanswm allyriadau mewn cilogramau o garbon diocsid cyfatebol (cilogram CO2e).  
• Os ydych yn dymuno defnyddio dull haen uwch (Haen 2) ar gyfer rhan o’ch allyriadau cadwyn gyflenwi, gallwch gofnodi y rhain yn yr ail dabl isod. Dylech gynnwys nodiadau am eich dull a’r maint gwariant ar gyfer yr allyriadau hyn.   PEIDIWCH Â thynnu’r gwariant hwn o’r data a adroddwyd yn nhabl Haen 1 (e.e. dylai unrhyw allyriadau a adroddwyd arnynt yn nhabl Haen 2 hefyd gael eu cynnwys yn y cyfanswm gwariant ar gyfer y categori hwnnw yn y tabl Haen 1).  Mae unrhyw allyriadau wedi eu cyfrif gan ddulliau Haen 2 wedi eu cynnwys yng ngholofn J o’r tabl Haen 1 i ddarparu cyfanswm cyffredinol heb gyfrif ddwywaith.  </t>
    </r>
  </si>
  <si>
    <r>
      <rPr>
        <b/>
        <sz val="11"/>
        <color rgb="FF636363"/>
        <rFont val="Calibri"/>
        <family val="2"/>
        <scheme val="minor"/>
      </rPr>
      <t xml:space="preserve">Canllawiau ar gyfer defnyddwyr
</t>
    </r>
    <r>
      <rPr>
        <sz val="11"/>
        <color rgb="FF636363"/>
        <rFont val="Calibri"/>
        <family val="2"/>
        <scheme val="minor"/>
      </rPr>
      <t xml:space="preserve">Mae’r tab hwn yn cynnwys un tabl ar gyfer cofnodi data gwastraff - gwnaed pob ymdrech i gynnwys mathau o wastraff perthnasol.   Os nad yw’r math o wastraff ar gael, dewiswch yr un agosaf ac ysgrifennwch y math o wastraff yn y golofn nodiadau.   
Mae’r tabl ar gyfer gwastraff sefydliadol - mae hwn yn wastraff sy'n cael ei greu gan eich ysgol o ddydd i ddydd.   Gallwch ddewis o ystod o fathau o wastraff a llwybrau gwaredu (nid yw rhai llwybrau gwaredu yn berthnasol ar gyfer rhai mathau o wastraff ac felly nid yw’r cyfuniad o’r dewisiadau hyn ar gael yn y rhestrau cwymplen).  
Sylwer: os yw eich sefydliad wedi rhoi gwybod am wastraff sefydliadol yn seiliedig ar dunelli, dylech ddileu gwariant ar wasanaethau casglu gwastraff yn eich data cadwyn gyflenwi i osgoi cyfrif ddwywaith.  
</t>
    </r>
  </si>
  <si>
    <r>
      <rPr>
        <b/>
        <sz val="11"/>
        <color theme="1" tint="0.34998626667073579"/>
        <rFont val="Calibri"/>
        <family val="2"/>
        <scheme val="minor"/>
      </rPr>
      <t xml:space="preserve">Cyfarwyddiadau ar gyfer defnyddwyr 
</t>
    </r>
    <r>
      <rPr>
        <sz val="11"/>
        <color theme="1" tint="0.34998626667073579"/>
        <rFont val="Calibri"/>
        <family val="2"/>
        <scheme val="minor"/>
      </rPr>
      <t>•  Rhowch y wybodaeth yn y celloedd oren a glas. Ni ddylid golygu’r celloedd llwyd.  
•  Dylai’r data gweithgaredd sy'n cael ei roi yn y golofn ‘data’ fod yn yr unedau yn unig a nodwyd yn y gwymplen colofn ‘unedau’. Os yw eich data mewn unedau nad ydynt wedi eu cynnwys yn y gwymplen hon, bydd angen i chi ei drosi cyn ei gynnwys yn y daflen hon (gweler y daflen drosi)
•  Pan fyddwch yn cwblhau rhes, llenwch y colofnau o’r chwith i’r dde.   Bydd y rhestrau cwymplen mewn colofnau diweddarach yn newid i ddarparu cyfuniadau dilys yn seiliedig ar eich dewisiadau blaenorol.   
•  Gallwch gopïo a phastio rhwng rhesi ond dylech osgoi copïo data o un golofn i un arall, gan fod hyn yn debyg o dorri’r rhestrau cwymplen. 
• Llenwch y golofn nodiadau gyda disgrifiad o’r dull a’r ffynhonnell ddata a ddefnyddir.</t>
    </r>
  </si>
  <si>
    <r>
      <rPr>
        <b/>
        <sz val="11"/>
        <color theme="1" tint="0.499984740745262"/>
        <rFont val="Calibri"/>
        <family val="2"/>
        <scheme val="minor"/>
      </rPr>
      <t xml:space="preserve">Cyfarwyddiadau ar gyfer defnyddwyr 
</t>
    </r>
    <r>
      <rPr>
        <sz val="11"/>
        <color theme="1" tint="0.499984740745262"/>
        <rFont val="Calibri"/>
        <family val="2"/>
        <scheme val="minor"/>
      </rPr>
      <t>• Rhowch y wybodaeth yn y celloedd oren a glas. Ni ddylid golygu’r celloedd llwyd.  
• Dylai’r data gweithgaredd sydd wedi’i roi yn y golofn ‘data’ fod yn yr unedau yn unig a nodwyd yn y gwymplen colofn ‘unedau’. Os yw eich data mewn unedau nad ydynt wedi eu cynnwys yn y gwymplen hon, bydd angen i chi ei drosi cyn ei gynnwys yn y daflen hon (gweler y daflen drosi)
• Pan fyddwch yn cwblhau rhes, llenwch y colofnau o’r chwith i’r dde.   Bydd y rhestrau cwymplen mewn colofnau diweddarach yn newid i ddarparu cyfuniadau dilys yn seiliedig ar eich dewisiadau blaenorol.   
• Gallwch gopïo a phastio rhwng rhesi ond dylech osgoi copïo data o un golofn i un arall, gan fod hyn yn debyg o dorri’r rhestrau cwymplen.
• Llenwch y golofn nodiadau gyda disgrifiad o’r dull a’r ffynhonnell ddata a ddefnyddir ar gyfer pob rhes.</t>
    </r>
  </si>
  <si>
    <r>
      <rPr>
        <b/>
        <sz val="12"/>
        <color theme="1" tint="0.499984740745262"/>
        <rFont val="Calibri"/>
        <family val="2"/>
        <scheme val="minor"/>
      </rPr>
      <t xml:space="preserve">Canllawiau ar gyfer defnyddwyr
</t>
    </r>
    <r>
      <rPr>
        <sz val="12"/>
        <color theme="1" tint="0.499984740745262"/>
        <rFont val="Calibri"/>
        <family val="2"/>
        <scheme val="minor"/>
      </rPr>
      <t>Mae’r daflen hon yn cynnwys tri thabl ar draws dau grŵp allyriadau - Adeiladau (Ynni a Dŵr) a Fflyd ac Offer.  Mae'r Fflyd yn cynnwys dau ddull mewnbynnu data, naill ai faint o danwydd a brynwyd neu’r pellter a deithiwyd. Rhowch y data yn un o’r tablau hyn yn unig i osgoi cyfrif allyriadau ddwywaith.</t>
    </r>
    <r>
      <rPr>
        <b/>
        <sz val="12"/>
        <color theme="1" tint="0.499984740745262"/>
        <rFont val="Calibri"/>
        <family val="2"/>
        <scheme val="minor"/>
      </rPr>
      <t xml:space="preserve">
</t>
    </r>
  </si>
  <si>
    <r>
      <rPr>
        <b/>
        <sz val="12"/>
        <color theme="1" tint="0.499984740745262"/>
        <rFont val="Calibri"/>
        <family val="2"/>
        <scheme val="minor"/>
      </rPr>
      <t xml:space="preserve">Cyfarwyddiadau ar gyfer defnyddwyr </t>
    </r>
    <r>
      <rPr>
        <sz val="12"/>
        <color theme="1" tint="0.499984740745262"/>
        <rFont val="Calibri"/>
        <family val="2"/>
        <scheme val="minor"/>
      </rPr>
      <t xml:space="preserve">
• Rhowch y wybodaeth yn y celloedd oren a glas. Ni ddylid golygu’r celloedd llwyd.  
• Dylai’r data gweithgaredd sydd wedi'i roi yn y golofn ‘data’ fod yn yr unedau yn unig a nodwyd yn y gwymplen colofn ‘unedau' (e.e. kWh, litrau, milltiroedd, km). Os yw eich data mewn unedau nad ydynt wedi eu cynnwys yn y gwymplen hon, bydd angen i chi ei drosi cyn ei gynnwys yn y daflen hon (gweler y daflen drosi)
• Pan fyddwch yn cwblhau rhes, llenwch y colofnau o’r chwith i’r dde.   Bydd y rhestrau mewn colofnau diweddarach yn newid i ddarparu cyfuniadau dilys yn seiliedig ar eich dewisiadau blaenorol.   
• Gallwch gopïo a phastio rhwng rhesi ond dylech osgoi copïo data o un golofn i un arall, gan fod hyn yn debyg o dorri’r rhestrau cwymplen. 
• Llenwch y golofn nodiadau gyda disgrifiad o’r dull a’r ffynhonnell ddata a ddefnyddir ar gyfer pob rhes ac unrhyw wybodaeth arall sy’n ychwanegu olrhain i’r cyfrifo.</t>
    </r>
    <r>
      <rPr>
        <sz val="11"/>
        <color theme="1" tint="0.499984740745262"/>
        <rFont val="Calibri"/>
        <family val="2"/>
        <scheme val="minor"/>
      </rPr>
      <t xml:space="preserve">
</t>
    </r>
  </si>
  <si>
    <r>
      <t>Mae’r adran hon yn rhoi crynodeb o allyriadau carbon yn seiliedig ar fewngofnodi data ac fe'u rhoddir mewn cilogramau o garbon diocsid cyfatebol (kgCO</t>
    </r>
    <r>
      <rPr>
        <vertAlign val="subscript"/>
        <sz val="11"/>
        <color rgb="FF636363"/>
        <rFont val="Calibri"/>
        <family val="2"/>
        <scheme val="minor"/>
      </rPr>
      <t>2</t>
    </r>
    <r>
      <rPr>
        <sz val="11"/>
        <color rgb="FF636363"/>
        <rFont val="Calibri"/>
        <family val="2"/>
        <scheme val="minor"/>
      </rPr>
      <t>e). I gyfrif allyriadau mewn tunelli o garbon diocsid cyfatebol (tCO</t>
    </r>
    <r>
      <rPr>
        <vertAlign val="subscript"/>
        <sz val="11"/>
        <color rgb="FF636363"/>
        <rFont val="Calibri"/>
        <family val="2"/>
        <scheme val="minor"/>
      </rPr>
      <t>2</t>
    </r>
    <r>
      <rPr>
        <sz val="11"/>
        <color rgb="FF636363"/>
        <rFont val="Calibri"/>
        <family val="2"/>
        <scheme val="minor"/>
      </rPr>
      <t xml:space="preserve">e), rhannwch gyda 1000.
</t>
    </r>
  </si>
  <si>
    <t xml:space="preserve">Nid oes angen i chi fewnbynnu unrhyw wybodaeth yn y daflen hon.   Mae celloedd a amlygwyd yn Felyn yn nodi’r cyfanswm o allyriadau ar gyfer pob ffynhonnell i’w gynnwys yn y Traciwr Carbon. </t>
  </si>
  <si>
    <t xml:space="preserve">Mae Cyfrifydd Carbon yr Ysgol v2.0 yn seiliedig ar Daenlen Adrodd Sero Net y Sector Cyhoeddus yng Nghymru ac mae wedi cael ei addasu gan Gyngor Sir Caerfyrddin i’w ddefnyddio gan Ysgolion.  Mae’r ffactorau allyriadau a ddefnyddir ar gyfer hyn o 2024 a gellir dod o hyd iddynt yn https://www.gov.uk/government/collections/government-conversion-factors-for-company-reporting. 
I gael cymorth i ddefnyddio’r daenlen hon, gallwch gysylltu â: energy@sirgar.gov.uk
</t>
  </si>
  <si>
    <t xml:space="preserve">Nifer y Gweithwyr a Myfyrwyr yn yr Ysgol </t>
  </si>
  <si>
    <r>
      <rPr>
        <b/>
        <sz val="11"/>
        <color rgb="FF636363"/>
        <rFont val="Calibri"/>
        <family val="2"/>
        <scheme val="minor"/>
      </rPr>
      <t xml:space="preserve">Canllawiau ar gyfer defnyddwyr
</t>
    </r>
    <r>
      <rPr>
        <sz val="11"/>
        <color rgb="FF636363"/>
        <rFont val="Calibri"/>
        <family val="2"/>
        <scheme val="minor"/>
      </rPr>
      <t xml:space="preserve">Mae’r daflen hon yn caniatáu i ddefnyddwyr ddarparu gwybodaeth am unrhyw ynni adnewyddadwy mae eich ysgol yn ei gynhyrchu neu yn ei brynu.   Mae’n cynnwys dau dabl, un ar gyfer adnewyddadwy a gynhyrchwyd ar y safle gan eich ysgol ac un ar gyfer trydan neu wres adnewyddadwy a brynwyd gan eich ysgol/cyngor. Gallwch gysylltu ag </t>
    </r>
    <r>
      <rPr>
        <b/>
        <sz val="11"/>
        <color rgb="FF636363"/>
        <rFont val="Calibri"/>
        <family val="2"/>
        <scheme val="minor"/>
      </rPr>
      <t>energy@sirgar.gov.uk</t>
    </r>
    <r>
      <rPr>
        <sz val="11"/>
        <color rgb="FF636363"/>
        <rFont val="Calibri"/>
        <family val="2"/>
        <scheme val="minor"/>
      </rPr>
      <t xml:space="preserve"> am gefnogaeth a gwybodaeth.     </t>
    </r>
  </si>
  <si>
    <r>
      <rPr>
        <b/>
        <sz val="11"/>
        <color rgb="FF636363"/>
        <rFont val="Calibri"/>
        <family val="2"/>
        <scheme val="minor"/>
      </rPr>
      <t xml:space="preserve">Cyfarwyddiadau ar gyfer defnyddwyr:
</t>
    </r>
    <r>
      <rPr>
        <sz val="11"/>
        <color rgb="FF636363"/>
        <rFont val="Calibri"/>
        <family val="2"/>
        <scheme val="minor"/>
      </rPr>
      <t>•  Rhowch y wybodaeth yn y celloedd oren a glas. Ni ddylid golygu’r celloedd llwyd.  
• Dylai data gweithgaredd fod mewn uned kWh yn unig.  Os yw eich data mewn unedau eraill, bydd angen i chi ei drosi cyn ei gynnwys yn y daflen hon (gweler y daflen drosi)
•  Pan fyddwch yn cwblhau rhes, llenwch y colofnau o’r chwith i’r dde.   Bydd y rhestrau cwymplen mewn colofnau diweddarach yn newid i ddarparu cyfuniadau dilys yn seiliedig ar eich dewisiadau blaenorol.   
•  Gallwch gopïo a phastio rhwng rhesi ond dylech osgoi copïo data o un golofn i un arall, gan fod hyn yn debyg o dorri’r rhestrau cwymplen.
• Llenwch y golofn nodiadau gyda disgrifiad o’r dull a’r ffynhonnell ddata a ddefnyddir.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</si>
</sst>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Red]\-&quot;£&quot;#,##0.00"/>
    <numFmt numFmtId="44" formatCode="_-&quot;£&quot;* #,##0.00_-;\-&quot;£&quot;* #,##0.00_-;_-&quot;£&quot;* &quot;-&quot;??_-;_-@_-"/>
    <numFmt numFmtId="43" formatCode="_-* #,##0.00_-;\-* #,##0.00_-;_-* &quot;-&quot;??_-;_-@_-"/>
    <numFmt numFmtId="164" formatCode="&quot;£&quot;#,##0.00"/>
    <numFmt numFmtId="165" formatCode="_-* #,##0_-;\-* #,##0_-;_-* &quot;-&quot;??_-;_-@_-"/>
    <numFmt numFmtId="166" formatCode="0.0000"/>
    <numFmt numFmtId="167" formatCode="0.0"/>
    <numFmt numFmtId="168" formatCode="_-* #,##0.0_-;\-* #,##0.0_-;_-* &quot;-&quot;??_-;_-@_-"/>
    <numFmt numFmtId="169" formatCode="0.000"/>
    <numFmt numFmtId="170" formatCode="0.0%"/>
    <numFmt numFmtId="171" formatCode="0.00000"/>
    <numFmt numFmtId="172" formatCode="#,##0.000"/>
    <numFmt numFmtId="173" formatCode="_-* #,##0.00_-;\-* #,##0.00_-;_-* &quot;-&quot;?_-;_-@_-"/>
  </numFmts>
  <fonts count="68" x14ac:knownFonts="1">
    <font>
      <sz val="11"/>
      <color theme="1"/>
      <name val="Calibri"/>
      <family val="2"/>
      <scheme val="minor"/>
    </font>
    <font>
      <sz val="9"/>
      <color indexed="81"/>
      <name val="Tahoma"/>
      <family val="2"/>
    </font>
    <font>
      <b/>
      <sz val="10"/>
      <color rgb="FFFFFFFF"/>
      <name val="Calibri"/>
      <family val="2"/>
      <scheme val="minor"/>
    </font>
    <font>
      <sz val="10"/>
      <color rgb="FF636363"/>
      <name val="Calibri"/>
      <family val="2"/>
      <scheme val="minor"/>
    </font>
    <font>
      <sz val="11"/>
      <color theme="1"/>
      <name val="Calibri"/>
      <family val="2"/>
      <scheme val="minor"/>
    </font>
    <font>
      <b/>
      <vertAlign val="subscript"/>
      <sz val="10"/>
      <color rgb="FFFFFFFF"/>
      <name val="Calibri"/>
      <family val="2"/>
      <scheme val="minor"/>
    </font>
    <font>
      <i/>
      <sz val="10"/>
      <color rgb="FF636363"/>
      <name val="Calibri"/>
      <family val="2"/>
      <scheme val="minor"/>
    </font>
    <font>
      <sz val="10"/>
      <name val="Arial"/>
      <family val="2"/>
    </font>
    <font>
      <b/>
      <sz val="10"/>
      <color rgb="FF636363"/>
      <name val="Calibri"/>
      <family val="2"/>
      <scheme val="minor"/>
    </font>
    <font>
      <b/>
      <sz val="10"/>
      <color theme="0"/>
      <name val="Calibri"/>
      <family val="2"/>
      <scheme val="minor"/>
    </font>
    <font>
      <sz val="10"/>
      <name val="Calibri"/>
      <family val="2"/>
      <scheme val="minor"/>
    </font>
    <font>
      <sz val="11"/>
      <color rgb="FF636363"/>
      <name val="Calibri"/>
      <family val="2"/>
      <scheme val="minor"/>
    </font>
    <font>
      <i/>
      <sz val="10"/>
      <color rgb="FF0599C7"/>
      <name val="Calibri"/>
      <family val="2"/>
      <scheme val="minor"/>
    </font>
    <font>
      <b/>
      <sz val="12"/>
      <color rgb="FF636363"/>
      <name val="Calibri"/>
      <family val="2"/>
      <scheme val="minor"/>
    </font>
    <font>
      <b/>
      <sz val="11"/>
      <color theme="1"/>
      <name val="Calibri"/>
      <family val="2"/>
      <scheme val="minor"/>
    </font>
    <font>
      <sz val="11"/>
      <color theme="1" tint="0.499984740745262"/>
      <name val="Calibri"/>
      <family val="2"/>
      <scheme val="minor"/>
    </font>
    <font>
      <b/>
      <sz val="11"/>
      <color theme="1" tint="0.34998626667073579"/>
      <name val="Calibri"/>
      <family val="2"/>
      <scheme val="minor"/>
    </font>
    <font>
      <b/>
      <sz val="11"/>
      <color rgb="FFFFFFFF"/>
      <name val="Calibri"/>
      <family val="2"/>
      <scheme val="minor"/>
    </font>
    <font>
      <b/>
      <vertAlign val="subscript"/>
      <sz val="10"/>
      <color theme="0"/>
      <name val="Calibri"/>
      <family val="2"/>
      <scheme val="minor"/>
    </font>
    <font>
      <sz val="11"/>
      <color rgb="FFFF0000"/>
      <name val="Calibri"/>
      <family val="2"/>
      <scheme val="minor"/>
    </font>
    <font>
      <sz val="11"/>
      <name val="Calibri"/>
      <family val="2"/>
      <scheme val="minor"/>
    </font>
    <font>
      <b/>
      <sz val="14"/>
      <color theme="1"/>
      <name val="Calibri"/>
      <family val="2"/>
      <scheme val="minor"/>
    </font>
    <font>
      <b/>
      <sz val="10"/>
      <name val="Calibri"/>
      <family val="2"/>
      <scheme val="minor"/>
    </font>
    <font>
      <b/>
      <sz val="12"/>
      <color theme="1"/>
      <name val="Calibri"/>
      <family val="2"/>
      <scheme val="minor"/>
    </font>
    <font>
      <sz val="11"/>
      <color theme="0"/>
      <name val="Calibri"/>
      <family val="2"/>
      <scheme val="minor"/>
    </font>
    <font>
      <b/>
      <sz val="14"/>
      <color rgb="FF636363"/>
      <name val="Calibri"/>
      <family val="2"/>
      <scheme val="minor"/>
    </font>
    <font>
      <b/>
      <i/>
      <sz val="14"/>
      <color rgb="FF0599C7"/>
      <name val="Calibri"/>
      <family val="2"/>
      <scheme val="minor"/>
    </font>
    <font>
      <sz val="10"/>
      <color theme="1"/>
      <name val="Arial"/>
      <family val="2"/>
    </font>
    <font>
      <u/>
      <sz val="11"/>
      <color indexed="12"/>
      <name val="Calibri"/>
      <family val="2"/>
    </font>
    <font>
      <u/>
      <sz val="10"/>
      <color indexed="12"/>
      <name val="Arial"/>
      <family val="2"/>
    </font>
    <font>
      <i/>
      <sz val="10"/>
      <name val="Calibri"/>
      <family val="2"/>
      <scheme val="minor"/>
    </font>
    <font>
      <b/>
      <i/>
      <sz val="10"/>
      <name val="Calibri"/>
      <family val="2"/>
      <scheme val="minor"/>
    </font>
    <font>
      <sz val="11"/>
      <color rgb="FF000000"/>
      <name val="Calibri"/>
      <family val="2"/>
      <scheme val="minor"/>
    </font>
    <font>
      <b/>
      <sz val="11"/>
      <color theme="0"/>
      <name val="Calibri"/>
      <family val="2"/>
      <scheme val="minor"/>
    </font>
    <font>
      <b/>
      <sz val="11"/>
      <color rgb="FF00B0F0"/>
      <name val="Calibri"/>
      <family val="2"/>
      <scheme val="minor"/>
    </font>
    <font>
      <sz val="11"/>
      <color rgb="FF00B0F0"/>
      <name val="Calibri"/>
      <family val="2"/>
      <scheme val="minor"/>
    </font>
    <font>
      <sz val="10"/>
      <color theme="0" tint="-0.249977111117893"/>
      <name val="Calibri"/>
      <family val="2"/>
      <scheme val="minor"/>
    </font>
    <font>
      <b/>
      <sz val="11"/>
      <color rgb="FF636363"/>
      <name val="Calibri"/>
      <family val="2"/>
      <scheme val="minor"/>
    </font>
    <font>
      <vertAlign val="subscript"/>
      <sz val="11"/>
      <color rgb="FF636363"/>
      <name val="Calibri"/>
      <family val="2"/>
      <scheme val="minor"/>
    </font>
    <font>
      <b/>
      <sz val="12"/>
      <color theme="1" tint="0.499984740745262"/>
      <name val="Calibri"/>
      <family val="2"/>
      <scheme val="minor"/>
    </font>
    <font>
      <sz val="11"/>
      <color theme="2" tint="-0.499984740745262"/>
      <name val="Calibri"/>
      <family val="2"/>
      <scheme val="minor"/>
    </font>
    <font>
      <i/>
      <sz val="11"/>
      <color theme="1"/>
      <name val="Calibri"/>
      <family val="2"/>
      <scheme val="minor"/>
    </font>
    <font>
      <u/>
      <sz val="11"/>
      <color theme="10"/>
      <name val="Calibri"/>
      <family val="2"/>
      <scheme val="minor"/>
    </font>
    <font>
      <b/>
      <sz val="11"/>
      <color theme="2" tint="-0.499984740745262"/>
      <name val="Calibri"/>
      <family val="2"/>
      <scheme val="minor"/>
    </font>
    <font>
      <b/>
      <vertAlign val="superscript"/>
      <sz val="10"/>
      <color rgb="FFFFFFFF"/>
      <name val="Calibri"/>
      <family val="2"/>
      <scheme val="minor"/>
    </font>
    <font>
      <sz val="11"/>
      <color theme="1" tint="0.34998626667073579"/>
      <name val="Calibri"/>
      <family val="2"/>
      <scheme val="minor"/>
    </font>
    <font>
      <b/>
      <sz val="11"/>
      <color theme="1" tint="0.499984740745262"/>
      <name val="Calibri"/>
      <family val="2"/>
      <scheme val="minor"/>
    </font>
    <font>
      <b/>
      <sz val="14"/>
      <color theme="1" tint="0.499984740745262"/>
      <name val="Calibri"/>
      <family val="2"/>
      <scheme val="minor"/>
    </font>
    <font>
      <b/>
      <sz val="20"/>
      <color theme="1" tint="0.499984740745262"/>
      <name val="Calibri"/>
      <family val="2"/>
      <scheme val="minor"/>
    </font>
    <font>
      <u/>
      <sz val="14"/>
      <color theme="10"/>
      <name val="Calibri"/>
      <family val="2"/>
      <scheme val="minor"/>
    </font>
    <font>
      <b/>
      <vertAlign val="subscript"/>
      <sz val="11"/>
      <color rgb="FFFFFFFF"/>
      <name val="Calibri"/>
      <family val="2"/>
      <scheme val="minor"/>
    </font>
    <font>
      <b/>
      <vertAlign val="subscript"/>
      <sz val="12"/>
      <color rgb="FF636363"/>
      <name val="Calibri"/>
      <family val="2"/>
      <scheme val="minor"/>
    </font>
    <font>
      <sz val="10"/>
      <color theme="1"/>
      <name val="Calibri"/>
      <family val="2"/>
      <scheme val="minor"/>
    </font>
    <font>
      <b/>
      <sz val="11"/>
      <color rgb="FFFF0000"/>
      <name val="Calibri"/>
      <family val="2"/>
      <scheme val="minor"/>
    </font>
    <font>
      <b/>
      <vertAlign val="subscript"/>
      <sz val="10"/>
      <color theme="0"/>
      <name val="Arial"/>
      <family val="2"/>
    </font>
    <font>
      <b/>
      <sz val="10"/>
      <color theme="0"/>
      <name val="Arial"/>
      <family val="2"/>
    </font>
    <font>
      <sz val="10"/>
      <color theme="9" tint="-0.499984740745262"/>
      <name val="Arial"/>
      <family val="2"/>
    </font>
    <font>
      <i/>
      <sz val="10"/>
      <color rgb="FFFF0000"/>
      <name val="Arial"/>
      <family val="2"/>
    </font>
    <font>
      <u/>
      <sz val="10"/>
      <color theme="11"/>
      <name val="Arial"/>
      <family val="2"/>
    </font>
    <font>
      <sz val="11"/>
      <color theme="1"/>
      <name val="Arial"/>
      <family val="2"/>
    </font>
    <font>
      <sz val="10"/>
      <color theme="2" tint="-0.499984740745262"/>
      <name val="Calibri"/>
      <family val="2"/>
      <scheme val="minor"/>
    </font>
    <font>
      <sz val="9"/>
      <color theme="0" tint="-0.34998626667073579"/>
      <name val="Calibri"/>
      <family val="2"/>
      <scheme val="minor"/>
    </font>
    <font>
      <sz val="10"/>
      <color rgb="FFFF0000"/>
      <name val="Calibri"/>
      <family val="2"/>
      <scheme val="minor"/>
    </font>
    <font>
      <sz val="10"/>
      <color rgb="FFC00000"/>
      <name val="Calibri"/>
      <family val="2"/>
      <scheme val="minor"/>
    </font>
    <font>
      <sz val="11"/>
      <color theme="2" tint="-0.249977111117893"/>
      <name val="Calibri"/>
      <family val="2"/>
      <scheme val="minor"/>
    </font>
    <font>
      <sz val="12"/>
      <color theme="1" tint="0.499984740745262"/>
      <name val="Calibri"/>
      <family val="2"/>
      <scheme val="minor"/>
    </font>
    <font>
      <sz val="11"/>
      <color theme="0" tint="-0.14999847407452621"/>
      <name val="Calibri"/>
      <family val="2"/>
      <scheme val="minor"/>
    </font>
    <font>
      <u/>
      <sz val="11"/>
      <color rgb="FF636363"/>
      <name val="Calibri"/>
      <family val="2"/>
      <scheme val="minor"/>
    </font>
  </fonts>
  <fills count="39">
    <fill>
      <patternFill patternType="none"/>
    </fill>
    <fill>
      <patternFill patternType="gray125"/>
    </fill>
    <fill>
      <patternFill patternType="solid">
        <fgColor rgb="FFCC99FF"/>
        <bgColor indexed="64"/>
      </patternFill>
    </fill>
    <fill>
      <patternFill patternType="solid">
        <fgColor theme="7" tint="0.39997558519241921"/>
        <bgColor rgb="FF000000"/>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rgb="FF0599C7"/>
        <bgColor indexed="64"/>
      </patternFill>
    </fill>
    <fill>
      <patternFill patternType="solid">
        <fgColor rgb="FFF2F2F2"/>
        <bgColor indexed="64"/>
      </patternFill>
    </fill>
    <fill>
      <patternFill patternType="darkUp">
        <bgColor rgb="FFF2F2F2"/>
      </patternFill>
    </fill>
    <fill>
      <patternFill patternType="solid">
        <fgColor rgb="FF9FC3CD"/>
        <bgColor indexed="64"/>
      </patternFill>
    </fill>
    <fill>
      <patternFill patternType="solid">
        <fgColor theme="0" tint="-0.34998626667073579"/>
        <bgColor indexed="64"/>
      </patternFill>
    </fill>
    <fill>
      <patternFill patternType="solid">
        <fgColor theme="9"/>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6" tint="0.59999389629810485"/>
        <bgColor indexed="64"/>
      </patternFill>
    </fill>
    <fill>
      <patternFill patternType="lightUp">
        <bgColor theme="6" tint="0.59999389629810485"/>
      </patternFill>
    </fill>
    <fill>
      <patternFill patternType="solid">
        <fgColor rgb="FF00B050"/>
        <bgColor indexed="64"/>
      </patternFill>
    </fill>
    <fill>
      <patternFill patternType="solid">
        <fgColor theme="4"/>
        <bgColor indexed="64"/>
      </patternFill>
    </fill>
    <fill>
      <patternFill patternType="solid">
        <fgColor theme="7"/>
        <bgColor indexed="64"/>
      </patternFill>
    </fill>
    <fill>
      <patternFill patternType="solid">
        <fgColor rgb="FF70DBFC"/>
        <bgColor indexed="64"/>
      </patternFill>
    </fill>
    <fill>
      <patternFill patternType="solid">
        <fgColor theme="5" tint="0.59999389629810485"/>
        <bgColor indexed="64"/>
      </patternFill>
    </fill>
    <fill>
      <patternFill patternType="darkUp">
        <bgColor theme="2" tint="-0.249977111117893"/>
      </patternFill>
    </fill>
    <fill>
      <patternFill patternType="darkUp">
        <bgColor rgb="FF9FC3CD"/>
      </patternFill>
    </fill>
    <fill>
      <patternFill patternType="solid">
        <fgColor theme="0" tint="-0.14999847407452621"/>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A6A6A6"/>
        <bgColor indexed="64"/>
      </patternFill>
    </fill>
    <fill>
      <patternFill patternType="solid">
        <fgColor theme="8"/>
        <bgColor indexed="64"/>
      </patternFill>
    </fill>
  </fills>
  <borders count="8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style="thin">
        <color theme="0"/>
      </top>
      <bottom style="thin">
        <color theme="0"/>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thin">
        <color theme="0"/>
      </left>
      <right style="thin">
        <color theme="0"/>
      </right>
      <top style="thin">
        <color theme="0"/>
      </top>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style="medium">
        <color rgb="FFFFFFFF"/>
      </right>
      <top/>
      <bottom/>
      <diagonal/>
    </border>
    <border>
      <left style="thin">
        <color theme="0"/>
      </left>
      <right style="medium">
        <color theme="0"/>
      </right>
      <top style="medium">
        <color theme="1" tint="0.34998626667073579"/>
      </top>
      <bottom/>
      <diagonal/>
    </border>
    <border>
      <left style="medium">
        <color rgb="FFFFFFFF"/>
      </left>
      <right style="medium">
        <color theme="0"/>
      </right>
      <top style="medium">
        <color theme="1" tint="0.34998626667073579"/>
      </top>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medium">
        <color rgb="FFFFFFFF"/>
      </left>
      <right style="medium">
        <color theme="0"/>
      </right>
      <top style="medium">
        <color rgb="FFFFFFFF"/>
      </top>
      <bottom style="medium">
        <color rgb="FFFFFFFF"/>
      </bottom>
      <diagonal/>
    </border>
    <border>
      <left/>
      <right/>
      <top style="medium">
        <color rgb="FFFFFFFF"/>
      </top>
      <bottom style="medium">
        <color rgb="FFFFFFFF"/>
      </bottom>
      <diagonal/>
    </border>
    <border>
      <left style="medium">
        <color theme="0"/>
      </left>
      <right/>
      <top style="medium">
        <color rgb="FFFFFFFF"/>
      </top>
      <bottom style="medium">
        <color rgb="FFFFFFFF"/>
      </bottom>
      <diagonal/>
    </border>
    <border>
      <left style="medium">
        <color rgb="FFFFFFFF"/>
      </left>
      <right/>
      <top style="medium">
        <color theme="1" tint="0.34998626667073579"/>
      </top>
      <bottom/>
      <diagonal/>
    </border>
    <border>
      <left/>
      <right style="thin">
        <color theme="0"/>
      </right>
      <top style="thin">
        <color theme="0"/>
      </top>
      <bottom style="thin">
        <color theme="0"/>
      </bottom>
      <diagonal/>
    </border>
    <border>
      <left/>
      <right style="medium">
        <color rgb="FFFFFFFF"/>
      </right>
      <top style="medium">
        <color rgb="FFFFFFFF"/>
      </top>
      <bottom/>
      <diagonal/>
    </border>
    <border>
      <left style="medium">
        <color rgb="FFFFFFFF"/>
      </left>
      <right style="medium">
        <color theme="0"/>
      </right>
      <top style="medium">
        <color rgb="FFFFFFFF"/>
      </top>
      <bottom/>
      <diagonal/>
    </border>
    <border>
      <left/>
      <right/>
      <top style="medium">
        <color rgb="FFFFFFFF"/>
      </top>
      <bottom/>
      <diagonal/>
    </border>
    <border>
      <left style="medium">
        <color theme="0"/>
      </left>
      <right/>
      <top style="medium">
        <color rgb="FFFFFFFF"/>
      </top>
      <bottom/>
      <diagonal/>
    </border>
    <border>
      <left/>
      <right/>
      <top style="thin">
        <color theme="0"/>
      </top>
      <bottom style="thin">
        <color theme="0"/>
      </bottom>
      <diagonal/>
    </border>
    <border>
      <left/>
      <right style="thin">
        <color theme="0"/>
      </right>
      <top style="thin">
        <color theme="0"/>
      </top>
      <bottom/>
      <diagonal/>
    </border>
    <border>
      <left style="medium">
        <color rgb="FFFFFFFF"/>
      </left>
      <right style="medium">
        <color theme="0"/>
      </right>
      <top/>
      <bottom/>
      <diagonal/>
    </border>
    <border>
      <left style="thin">
        <color theme="0"/>
      </left>
      <right style="medium">
        <color rgb="FFFFFFFF"/>
      </right>
      <top style="medium">
        <color rgb="FFFFFFFF"/>
      </top>
      <bottom style="thin">
        <color theme="0"/>
      </bottom>
      <diagonal/>
    </border>
    <border>
      <left style="medium">
        <color rgb="FFFFFFFF"/>
      </left>
      <right style="medium">
        <color rgb="FFFFFFFF"/>
      </right>
      <top/>
      <bottom/>
      <diagonal/>
    </border>
    <border>
      <left style="medium">
        <color theme="0"/>
      </left>
      <right style="medium">
        <color theme="0"/>
      </right>
      <top style="medium">
        <color theme="0"/>
      </top>
      <bottom style="medium">
        <color theme="0"/>
      </bottom>
      <diagonal/>
    </border>
    <border>
      <left/>
      <right/>
      <top/>
      <bottom style="medium">
        <color theme="3"/>
      </bottom>
      <diagonal/>
    </border>
    <border>
      <left/>
      <right style="thin">
        <color theme="0"/>
      </right>
      <top/>
      <bottom style="thin">
        <color theme="0"/>
      </bottom>
      <diagonal/>
    </border>
    <border>
      <left style="medium">
        <color theme="0"/>
      </left>
      <right style="medium">
        <color theme="0"/>
      </right>
      <top style="medium">
        <color theme="0"/>
      </top>
      <bottom/>
      <diagonal/>
    </border>
    <border>
      <left/>
      <right style="medium">
        <color theme="0"/>
      </right>
      <top style="medium">
        <color theme="0"/>
      </top>
      <bottom style="medium">
        <color theme="0"/>
      </bottom>
      <diagonal/>
    </border>
    <border>
      <left style="thin">
        <color theme="0"/>
      </left>
      <right style="thin">
        <color theme="0"/>
      </right>
      <top/>
      <bottom/>
      <diagonal/>
    </border>
    <border>
      <left/>
      <right/>
      <top/>
      <bottom style="thin">
        <color theme="0"/>
      </bottom>
      <diagonal/>
    </border>
    <border>
      <left/>
      <right/>
      <top/>
      <bottom style="medium">
        <color rgb="FFFFFFFF"/>
      </bottom>
      <diagonal/>
    </border>
    <border>
      <left style="medium">
        <color theme="0"/>
      </left>
      <right style="medium">
        <color rgb="FFFFFFFF"/>
      </right>
      <top/>
      <bottom style="medium">
        <color rgb="FFFFFFFF"/>
      </bottom>
      <diagonal/>
    </border>
    <border>
      <left style="medium">
        <color theme="0"/>
      </left>
      <right style="medium">
        <color rgb="FFFFFFFF"/>
      </right>
      <top style="medium">
        <color theme="1" tint="0.34998626667073579"/>
      </top>
      <bottom style="medium">
        <color rgb="FFFFFFFF"/>
      </bottom>
      <diagonal/>
    </border>
    <border>
      <left style="medium">
        <color rgb="FFFFFFFF"/>
      </left>
      <right/>
      <top/>
      <bottom style="medium">
        <color rgb="FFFFFFFF"/>
      </bottom>
      <diagonal/>
    </border>
    <border>
      <left style="medium">
        <color rgb="FFFFFFFF"/>
      </left>
      <right style="thin">
        <color theme="0"/>
      </right>
      <top style="medium">
        <color rgb="FFFFFFFF"/>
      </top>
      <bottom style="medium">
        <color rgb="FFFFFFFF"/>
      </bottom>
      <diagonal/>
    </border>
    <border>
      <left/>
      <right/>
      <top style="thin">
        <color theme="0"/>
      </top>
      <bottom style="medium">
        <color rgb="FFFFFFFF"/>
      </bottom>
      <diagonal/>
    </border>
    <border>
      <left style="thin">
        <color theme="0"/>
      </left>
      <right/>
      <top style="thin">
        <color theme="0"/>
      </top>
      <bottom/>
      <diagonal/>
    </border>
    <border>
      <left style="thin">
        <color theme="0"/>
      </left>
      <right/>
      <top/>
      <bottom style="thin">
        <color theme="0"/>
      </bottom>
      <diagonal/>
    </border>
    <border>
      <left/>
      <right style="medium">
        <color rgb="FFFFFFFF"/>
      </right>
      <top style="medium">
        <color rgb="FFFFFFFF"/>
      </top>
      <bottom style="thin">
        <color theme="0"/>
      </bottom>
      <diagonal/>
    </border>
    <border>
      <left style="thin">
        <color theme="0"/>
      </left>
      <right style="medium">
        <color theme="0"/>
      </right>
      <top/>
      <bottom style="thin">
        <color theme="0"/>
      </bottom>
      <diagonal/>
    </border>
    <border>
      <left style="thin">
        <color theme="0"/>
      </left>
      <right style="medium">
        <color theme="0"/>
      </right>
      <top style="thin">
        <color theme="0"/>
      </top>
      <bottom style="thin">
        <color theme="0"/>
      </bottom>
      <diagonal/>
    </border>
    <border>
      <left style="medium">
        <color theme="0"/>
      </left>
      <right style="medium">
        <color theme="0"/>
      </right>
      <top style="medium">
        <color theme="0"/>
      </top>
      <bottom style="thin">
        <color theme="0"/>
      </bottom>
      <diagonal/>
    </border>
    <border>
      <left style="medium">
        <color theme="0"/>
      </left>
      <right style="medium">
        <color theme="0"/>
      </right>
      <top style="thin">
        <color theme="0"/>
      </top>
      <bottom style="thin">
        <color theme="0"/>
      </bottom>
      <diagonal/>
    </border>
    <border>
      <left style="medium">
        <color rgb="FFFFFFFF"/>
      </left>
      <right/>
      <top/>
      <bottom/>
      <diagonal/>
    </border>
    <border>
      <left style="medium">
        <color theme="0"/>
      </left>
      <right style="medium">
        <color theme="0"/>
      </right>
      <top/>
      <bottom/>
      <diagonal/>
    </border>
    <border>
      <left style="medium">
        <color theme="0"/>
      </left>
      <right/>
      <top/>
      <bottom/>
      <diagonal/>
    </border>
    <border>
      <left style="thin">
        <color theme="0"/>
      </left>
      <right style="medium">
        <color theme="0"/>
      </right>
      <top/>
      <bottom/>
      <diagonal/>
    </border>
    <border>
      <left style="medium">
        <color theme="0"/>
      </left>
      <right style="medium">
        <color theme="0"/>
      </right>
      <top/>
      <bottom style="medium">
        <color theme="0"/>
      </bottom>
      <diagonal/>
    </border>
    <border>
      <left style="thin">
        <color theme="0"/>
      </left>
      <right/>
      <top style="thin">
        <color theme="0"/>
      </top>
      <bottom style="medium">
        <color theme="0" tint="-0.34998626667073579"/>
      </bottom>
      <diagonal/>
    </border>
    <border>
      <left/>
      <right/>
      <top style="thin">
        <color theme="0"/>
      </top>
      <bottom/>
      <diagonal/>
    </border>
    <border>
      <left style="thin">
        <color theme="0"/>
      </left>
      <right style="thin">
        <color theme="0"/>
      </right>
      <top style="thin">
        <color theme="0"/>
      </top>
      <bottom style="medium">
        <color theme="0"/>
      </bottom>
      <diagonal/>
    </border>
    <border>
      <left style="medium">
        <color rgb="FFFFFFFF"/>
      </left>
      <right style="medium">
        <color rgb="FFFFFFFF"/>
      </right>
      <top style="medium">
        <color rgb="FFFFFFFF"/>
      </top>
      <bottom style="medium">
        <color theme="1" tint="0.34998626667073579"/>
      </bottom>
      <diagonal/>
    </border>
    <border>
      <left style="medium">
        <color rgb="FFFFFFFF"/>
      </left>
      <right/>
      <top style="thin">
        <color theme="0"/>
      </top>
      <bottom style="medium">
        <color rgb="FFFFFFFF"/>
      </bottom>
      <diagonal/>
    </border>
    <border>
      <left/>
      <right style="thin">
        <color theme="0"/>
      </right>
      <top style="thin">
        <color theme="0"/>
      </top>
      <bottom style="medium">
        <color rgb="FFFFFFFF"/>
      </bottom>
      <diagonal/>
    </border>
    <border>
      <left style="thin">
        <color theme="0"/>
      </left>
      <right/>
      <top style="thin">
        <color theme="0"/>
      </top>
      <bottom style="medium">
        <color rgb="FFFFFFFF"/>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medium">
        <color rgb="FFFFFFFF"/>
      </bottom>
      <diagonal/>
    </border>
    <border>
      <left style="thin">
        <color theme="0"/>
      </left>
      <right style="thin">
        <color theme="0"/>
      </right>
      <top/>
      <bottom style="medium">
        <color rgb="FFFFFFFF"/>
      </bottom>
      <diagonal/>
    </border>
    <border>
      <left/>
      <right/>
      <top style="medium">
        <color rgb="FFFFFFFF"/>
      </top>
      <bottom style="thin">
        <color theme="0"/>
      </bottom>
      <diagonal/>
    </border>
    <border>
      <left style="thin">
        <color theme="0"/>
      </left>
      <right style="thin">
        <color theme="0"/>
      </right>
      <top/>
      <bottom style="medium">
        <color theme="0"/>
      </bottom>
      <diagonal/>
    </border>
    <border>
      <left style="thin">
        <color theme="0"/>
      </left>
      <right style="medium">
        <color rgb="FFFFFFFF"/>
      </right>
      <top style="medium">
        <color theme="1" tint="0.34998626667073579"/>
      </top>
      <bottom style="thin">
        <color theme="0"/>
      </bottom>
      <diagonal/>
    </border>
    <border>
      <left style="thin">
        <color theme="0"/>
      </left>
      <right style="medium">
        <color rgb="FFFFFFFF"/>
      </right>
      <top style="medium">
        <color rgb="FFFFFFFF"/>
      </top>
      <bottom style="medium">
        <color theme="1" tint="0.34998626667073579"/>
      </bottom>
      <diagonal/>
    </border>
    <border>
      <left style="thin">
        <color theme="0"/>
      </left>
      <right style="medium">
        <color rgb="FFFFFFFF"/>
      </right>
      <top style="thin">
        <color theme="0"/>
      </top>
      <bottom style="medium">
        <color rgb="FFFFFFFF"/>
      </bottom>
      <diagonal/>
    </border>
    <border>
      <left style="medium">
        <color rgb="FFFFFFFF"/>
      </left>
      <right style="medium">
        <color theme="0"/>
      </right>
      <top style="medium">
        <color rgb="FFFFFFFF"/>
      </top>
      <bottom style="medium">
        <color theme="1" tint="0.34998626667073579"/>
      </bottom>
      <diagonal/>
    </border>
    <border>
      <left style="medium">
        <color theme="0"/>
      </left>
      <right style="medium">
        <color theme="0"/>
      </right>
      <top style="thin">
        <color theme="0"/>
      </top>
      <bottom style="medium">
        <color theme="0"/>
      </bottom>
      <diagonal/>
    </border>
    <border>
      <left style="thin">
        <color theme="0"/>
      </left>
      <right/>
      <top style="medium">
        <color theme="0" tint="-0.34998626667073579"/>
      </top>
      <bottom style="thin">
        <color theme="0"/>
      </bottom>
      <diagonal/>
    </border>
    <border>
      <left/>
      <right/>
      <top style="medium">
        <color theme="0" tint="-0.34998626667073579"/>
      </top>
      <bottom style="thin">
        <color theme="0"/>
      </bottom>
      <diagonal/>
    </border>
    <border>
      <left/>
      <right style="thin">
        <color theme="0"/>
      </right>
      <top style="medium">
        <color theme="0" tint="-0.34998626667073579"/>
      </top>
      <bottom style="thin">
        <color theme="0"/>
      </bottom>
      <diagonal/>
    </border>
    <border>
      <left style="medium">
        <color theme="0"/>
      </left>
      <right/>
      <top style="medium">
        <color theme="0"/>
      </top>
      <bottom style="medium">
        <color theme="0"/>
      </bottom>
      <diagonal/>
    </border>
    <border>
      <left/>
      <right/>
      <top style="thin">
        <color theme="0"/>
      </top>
      <bottom style="medium">
        <color theme="0" tint="-0.34998626667073579"/>
      </bottom>
      <diagonal/>
    </border>
    <border>
      <left/>
      <right style="thin">
        <color theme="0"/>
      </right>
      <top style="thin">
        <color theme="0"/>
      </top>
      <bottom style="medium">
        <color theme="0" tint="-0.34998626667073579"/>
      </bottom>
      <diagonal/>
    </border>
    <border>
      <left style="thin">
        <color theme="0"/>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thin">
        <color theme="0"/>
      </right>
      <top style="medium">
        <color theme="0" tint="-0.34998626667073579"/>
      </top>
      <bottom style="medium">
        <color theme="0" tint="-0.34998626667073579"/>
      </bottom>
      <diagonal/>
    </border>
    <border>
      <left style="thin">
        <color theme="0"/>
      </left>
      <right/>
      <top/>
      <bottom style="medium">
        <color theme="0" tint="-0.34998626667073579"/>
      </bottom>
      <diagonal/>
    </border>
    <border>
      <left/>
      <right/>
      <top/>
      <bottom style="medium">
        <color theme="0" tint="-0.34998626667073579"/>
      </bottom>
      <diagonal/>
    </border>
  </borders>
  <cellStyleXfs count="37">
    <xf numFmtId="0" fontId="0" fillId="0" borderId="0"/>
    <xf numFmtId="9" fontId="4" fillId="0" borderId="0" applyFont="0" applyFill="0" applyBorder="0" applyAlignment="0" applyProtection="0"/>
    <xf numFmtId="0" fontId="7" fillId="0" borderId="0"/>
    <xf numFmtId="43" fontId="4" fillId="0" borderId="0" applyFont="0" applyFill="0" applyBorder="0" applyAlignment="0" applyProtection="0"/>
    <xf numFmtId="0" fontId="27" fillId="0" borderId="0"/>
    <xf numFmtId="0" fontId="28" fillId="0" borderId="0" applyNumberFormat="0" applyFill="0" applyBorder="0" applyProtection="0">
      <alignment vertical="top"/>
      <protection locked="0"/>
    </xf>
    <xf numFmtId="44" fontId="4" fillId="0" borderId="0" applyFont="0" applyFill="0" applyBorder="0" applyAlignment="0" applyProtection="0"/>
    <xf numFmtId="43" fontId="4" fillId="0" borderId="0" applyFont="0" applyFill="0" applyBorder="0" applyAlignment="0" applyProtection="0"/>
    <xf numFmtId="0" fontId="29" fillId="0" borderId="0" applyNumberFormat="0" applyFill="0" applyBorder="0" applyProtection="0">
      <alignment vertical="top"/>
      <protection locked="0"/>
    </xf>
    <xf numFmtId="43" fontId="4" fillId="0" borderId="0" applyFont="0" applyFill="0" applyBorder="0" applyAlignment="0" applyProtection="0"/>
    <xf numFmtId="0" fontId="42" fillId="0" borderId="0" applyNumberFormat="0" applyFill="0" applyBorder="0" applyAlignment="0" applyProtection="0"/>
    <xf numFmtId="0" fontId="7" fillId="2" borderId="1" applyNumberFormat="0" applyAlignment="0" applyProtection="0"/>
    <xf numFmtId="0" fontId="56" fillId="3" borderId="2" applyNumberFormat="0" applyProtection="0">
      <alignment vertical="center"/>
    </xf>
    <xf numFmtId="43" fontId="27" fillId="0" borderId="0" applyFont="0" applyFill="0" applyBorder="0" applyAlignment="0" applyProtection="0"/>
    <xf numFmtId="43" fontId="27" fillId="0" borderId="0" applyFon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7" fillId="4" borderId="3" applyNumberFormat="0" applyBorder="0" applyAlignment="0" applyProtection="0"/>
    <xf numFmtId="0" fontId="7" fillId="5" borderId="0">
      <alignment vertical="center"/>
    </xf>
    <xf numFmtId="0" fontId="7" fillId="6" borderId="4" applyNumberFormat="0" applyAlignment="0" applyProtection="0"/>
    <xf numFmtId="0" fontId="59" fillId="0" borderId="0"/>
    <xf numFmtId="0" fontId="27" fillId="7" borderId="5" applyNumberFormat="0" applyFont="0" applyAlignment="0" applyProtection="0"/>
    <xf numFmtId="0" fontId="55" fillId="8" borderId="6" applyNumberFormat="0" applyAlignment="0" applyProtection="0"/>
    <xf numFmtId="9" fontId="59" fillId="0" borderId="0" applyFont="0" applyFill="0" applyBorder="0" applyAlignment="0" applyProtection="0"/>
    <xf numFmtId="0" fontId="7" fillId="9" borderId="7" applyNumberFormat="0" applyProtection="0">
      <alignment vertical="center"/>
    </xf>
    <xf numFmtId="0" fontId="55" fillId="10"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cellStyleXfs>
  <cellXfs count="385">
    <xf numFmtId="0" fontId="0" fillId="0" borderId="0" xfId="0"/>
    <xf numFmtId="0" fontId="0" fillId="0" borderId="8" xfId="0" applyBorder="1"/>
    <xf numFmtId="0" fontId="2" fillId="11" borderId="9" xfId="0" applyFont="1" applyFill="1" applyBorder="1" applyAlignment="1">
      <alignment vertical="center" wrapText="1"/>
    </xf>
    <xf numFmtId="0" fontId="2" fillId="11" borderId="10" xfId="0" applyFont="1" applyFill="1" applyBorder="1" applyAlignment="1">
      <alignment vertical="center" wrapText="1"/>
    </xf>
    <xf numFmtId="0" fontId="3" fillId="12" borderId="11" xfId="0" applyFont="1" applyFill="1" applyBorder="1" applyAlignment="1">
      <alignment vertical="center" wrapText="1"/>
    </xf>
    <xf numFmtId="0" fontId="3" fillId="12" borderId="12" xfId="0" applyFont="1" applyFill="1" applyBorder="1" applyAlignment="1">
      <alignment vertical="center" wrapText="1"/>
    </xf>
    <xf numFmtId="0" fontId="3" fillId="13" borderId="11" xfId="0" applyFont="1" applyFill="1" applyBorder="1" applyAlignment="1">
      <alignment vertical="center" wrapText="1"/>
    </xf>
    <xf numFmtId="0" fontId="0" fillId="0" borderId="13" xfId="0" applyBorder="1"/>
    <xf numFmtId="0" fontId="2" fillId="11" borderId="12" xfId="0" applyFont="1" applyFill="1" applyBorder="1" applyAlignment="1">
      <alignment horizontal="center" vertical="center" wrapText="1"/>
    </xf>
    <xf numFmtId="0" fontId="0" fillId="0" borderId="0" xfId="0" applyAlignment="1">
      <alignment horizontal="left" vertical="top" wrapText="1"/>
    </xf>
    <xf numFmtId="0" fontId="14" fillId="0" borderId="8" xfId="0" applyFont="1" applyBorder="1"/>
    <xf numFmtId="0" fontId="2" fillId="11" borderId="14" xfId="0" applyFont="1" applyFill="1" applyBorder="1" applyAlignment="1">
      <alignment vertical="center" wrapText="1"/>
    </xf>
    <xf numFmtId="165" fontId="10" fillId="14" borderId="10" xfId="3" applyNumberFormat="1" applyFont="1" applyFill="1" applyBorder="1" applyAlignment="1">
      <alignment vertical="center" wrapText="1"/>
    </xf>
    <xf numFmtId="0" fontId="19" fillId="0" borderId="8" xfId="0" applyFont="1" applyBorder="1"/>
    <xf numFmtId="0" fontId="19" fillId="0" borderId="8" xfId="0" applyFont="1" applyBorder="1" applyAlignment="1">
      <alignment vertical="top"/>
    </xf>
    <xf numFmtId="0" fontId="2" fillId="11" borderId="15" xfId="0" applyFont="1" applyFill="1" applyBorder="1" applyAlignment="1">
      <alignment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vertical="center" wrapText="1"/>
    </xf>
    <xf numFmtId="0" fontId="3" fillId="12" borderId="10" xfId="0" applyFont="1" applyFill="1" applyBorder="1" applyAlignment="1">
      <alignment vertical="center" wrapText="1"/>
    </xf>
    <xf numFmtId="0" fontId="3" fillId="12" borderId="16" xfId="0" applyFont="1" applyFill="1" applyBorder="1" applyAlignment="1">
      <alignment vertical="center" wrapText="1"/>
    </xf>
    <xf numFmtId="0" fontId="8" fillId="12" borderId="17" xfId="0" applyFont="1" applyFill="1" applyBorder="1" applyAlignment="1">
      <alignment vertical="center" wrapText="1"/>
    </xf>
    <xf numFmtId="165" fontId="22" fillId="14" borderId="18" xfId="3" applyNumberFormat="1" applyFont="1" applyFill="1" applyBorder="1" applyAlignment="1">
      <alignment vertical="center" wrapText="1"/>
    </xf>
    <xf numFmtId="49" fontId="0" fillId="0" borderId="8" xfId="0" applyNumberFormat="1" applyBorder="1"/>
    <xf numFmtId="0" fontId="23" fillId="0" borderId="8" xfId="0" applyFont="1" applyBorder="1"/>
    <xf numFmtId="0" fontId="3" fillId="12" borderId="11" xfId="0" applyFont="1" applyFill="1" applyBorder="1" applyAlignment="1">
      <alignment horizontal="center" vertical="center" wrapText="1"/>
    </xf>
    <xf numFmtId="0" fontId="2" fillId="11" borderId="9" xfId="0" applyFont="1" applyFill="1" applyBorder="1" applyAlignment="1">
      <alignment horizontal="center" textRotation="90" wrapText="1"/>
    </xf>
    <xf numFmtId="0" fontId="0" fillId="0" borderId="19" xfId="0" applyBorder="1"/>
    <xf numFmtId="0" fontId="0" fillId="0" borderId="20" xfId="0" applyBorder="1"/>
    <xf numFmtId="0" fontId="17" fillId="11" borderId="9" xfId="0" applyFont="1" applyFill="1" applyBorder="1" applyAlignment="1">
      <alignment horizontal="center" vertical="center" wrapText="1"/>
    </xf>
    <xf numFmtId="0" fontId="0" fillId="15" borderId="9" xfId="0" applyFill="1" applyBorder="1"/>
    <xf numFmtId="165" fontId="0" fillId="15" borderId="9" xfId="3" applyNumberFormat="1" applyFont="1" applyFill="1" applyBorder="1"/>
    <xf numFmtId="0" fontId="26" fillId="0" borderId="0" xfId="0" applyFont="1" applyAlignment="1">
      <alignment vertical="center"/>
    </xf>
    <xf numFmtId="43" fontId="0" fillId="15" borderId="9" xfId="3" applyFont="1" applyFill="1" applyBorder="1"/>
    <xf numFmtId="0" fontId="2" fillId="11" borderId="11" xfId="0" applyFont="1" applyFill="1" applyBorder="1" applyAlignment="1">
      <alignment horizontal="left" textRotation="90" wrapText="1"/>
    </xf>
    <xf numFmtId="0" fontId="3" fillId="12" borderId="12" xfId="0" applyFont="1" applyFill="1" applyBorder="1" applyAlignment="1">
      <alignment horizontal="center" vertical="center" wrapText="1"/>
    </xf>
    <xf numFmtId="0" fontId="24" fillId="0" borderId="8" xfId="0" applyFont="1" applyBorder="1"/>
    <xf numFmtId="0" fontId="23" fillId="16" borderId="8" xfId="0" applyFont="1" applyFill="1" applyBorder="1"/>
    <xf numFmtId="0" fontId="32" fillId="0" borderId="9" xfId="0" applyFont="1" applyBorder="1" applyAlignment="1">
      <alignment vertical="center"/>
    </xf>
    <xf numFmtId="0" fontId="32" fillId="0" borderId="11" xfId="0" applyFont="1" applyBorder="1" applyAlignment="1">
      <alignment vertical="center"/>
    </xf>
    <xf numFmtId="0" fontId="25" fillId="0" borderId="8" xfId="0" applyFont="1" applyBorder="1"/>
    <xf numFmtId="0" fontId="13" fillId="0" borderId="8" xfId="0" applyFont="1" applyBorder="1"/>
    <xf numFmtId="0" fontId="17" fillId="11" borderId="10" xfId="0" applyFont="1" applyFill="1" applyBorder="1" applyAlignment="1">
      <alignment horizontal="center" vertical="center" wrapText="1"/>
    </xf>
    <xf numFmtId="165" fontId="0" fillId="15" borderId="14" xfId="3" applyNumberFormat="1" applyFont="1" applyFill="1" applyBorder="1"/>
    <xf numFmtId="0" fontId="0" fillId="15" borderId="14" xfId="0" applyFill="1" applyBorder="1"/>
    <xf numFmtId="0" fontId="0" fillId="17" borderId="8" xfId="0" applyFill="1" applyBorder="1"/>
    <xf numFmtId="0" fontId="14" fillId="17" borderId="8" xfId="0" applyFont="1" applyFill="1" applyBorder="1"/>
    <xf numFmtId="0" fontId="0" fillId="17" borderId="20" xfId="0" applyFill="1" applyBorder="1"/>
    <xf numFmtId="0" fontId="19" fillId="0" borderId="13" xfId="0" applyFont="1" applyBorder="1"/>
    <xf numFmtId="0" fontId="2" fillId="17" borderId="10" xfId="0" applyFont="1" applyFill="1" applyBorder="1" applyAlignment="1">
      <alignment horizontal="center" vertical="center" wrapText="1"/>
    </xf>
    <xf numFmtId="165" fontId="10" fillId="17" borderId="10" xfId="3" applyNumberFormat="1" applyFont="1" applyFill="1" applyBorder="1" applyAlignment="1">
      <alignment vertical="center" wrapText="1"/>
    </xf>
    <xf numFmtId="165" fontId="10" fillId="17" borderId="21" xfId="3" applyNumberFormat="1" applyFont="1" applyFill="1" applyBorder="1" applyAlignment="1">
      <alignment vertical="center" wrapText="1"/>
    </xf>
    <xf numFmtId="165" fontId="22" fillId="17" borderId="22" xfId="3" applyNumberFormat="1" applyFont="1" applyFill="1" applyBorder="1" applyAlignment="1">
      <alignment vertical="center" wrapText="1"/>
    </xf>
    <xf numFmtId="165" fontId="30" fillId="17" borderId="23" xfId="3" applyNumberFormat="1" applyFont="1" applyFill="1" applyBorder="1" applyAlignment="1">
      <alignment horizontal="center" vertical="center" wrapText="1"/>
    </xf>
    <xf numFmtId="165" fontId="22" fillId="14" borderId="24" xfId="3" applyNumberFormat="1" applyFont="1" applyFill="1" applyBorder="1" applyAlignment="1">
      <alignment vertical="center" wrapText="1"/>
    </xf>
    <xf numFmtId="0" fontId="0" fillId="0" borderId="25" xfId="0" applyBorder="1"/>
    <xf numFmtId="165" fontId="10" fillId="17" borderId="26" xfId="3" applyNumberFormat="1" applyFont="1" applyFill="1" applyBorder="1" applyAlignment="1">
      <alignment vertical="center" wrapText="1"/>
    </xf>
    <xf numFmtId="165" fontId="10" fillId="17" borderId="27" xfId="3" applyNumberFormat="1" applyFont="1" applyFill="1" applyBorder="1" applyAlignment="1">
      <alignment vertical="center" wrapText="1"/>
    </xf>
    <xf numFmtId="165" fontId="22" fillId="17" borderId="28" xfId="3" applyNumberFormat="1" applyFont="1" applyFill="1" applyBorder="1" applyAlignment="1">
      <alignment vertical="center" wrapText="1"/>
    </xf>
    <xf numFmtId="165" fontId="30" fillId="17" borderId="29" xfId="3" applyNumberFormat="1" applyFont="1" applyFill="1" applyBorder="1" applyAlignment="1">
      <alignment horizontal="center" vertical="center" wrapText="1"/>
    </xf>
    <xf numFmtId="165" fontId="10" fillId="17" borderId="0" xfId="3" applyNumberFormat="1" applyFont="1" applyFill="1" applyBorder="1" applyAlignment="1">
      <alignment vertical="center" wrapText="1"/>
    </xf>
    <xf numFmtId="165" fontId="22" fillId="17" borderId="0" xfId="3" applyNumberFormat="1" applyFont="1" applyFill="1" applyBorder="1" applyAlignment="1">
      <alignment vertical="center" wrapText="1"/>
    </xf>
    <xf numFmtId="165" fontId="30" fillId="17" borderId="0" xfId="3" applyNumberFormat="1" applyFont="1" applyFill="1" applyBorder="1" applyAlignment="1">
      <alignment horizontal="center" vertical="center" wrapText="1"/>
    </xf>
    <xf numFmtId="0" fontId="0" fillId="17" borderId="13" xfId="0" applyFill="1" applyBorder="1"/>
    <xf numFmtId="0" fontId="0" fillId="17" borderId="0" xfId="0" applyFill="1"/>
    <xf numFmtId="0" fontId="20" fillId="0" borderId="8" xfId="0" applyFont="1" applyBorder="1"/>
    <xf numFmtId="0" fontId="2" fillId="0" borderId="12" xfId="0" applyFont="1" applyBorder="1" applyAlignment="1">
      <alignment horizontal="center" vertical="center" wrapText="1"/>
    </xf>
    <xf numFmtId="165" fontId="10" fillId="0" borderId="10" xfId="3" applyNumberFormat="1" applyFont="1" applyFill="1" applyBorder="1" applyAlignment="1">
      <alignment vertical="center" wrapText="1"/>
    </xf>
    <xf numFmtId="165" fontId="30" fillId="0" borderId="10" xfId="3" applyNumberFormat="1" applyFont="1" applyFill="1" applyBorder="1" applyAlignment="1">
      <alignment vertical="center" wrapText="1"/>
    </xf>
    <xf numFmtId="0" fontId="0" fillId="0" borderId="30" xfId="0" applyBorder="1"/>
    <xf numFmtId="0" fontId="0" fillId="0" borderId="31" xfId="0" applyBorder="1"/>
    <xf numFmtId="165" fontId="22" fillId="0" borderId="32" xfId="3" applyNumberFormat="1" applyFont="1" applyFill="1" applyBorder="1" applyAlignment="1">
      <alignment vertical="center" wrapText="1"/>
    </xf>
    <xf numFmtId="165" fontId="30" fillId="0" borderId="33" xfId="3" applyNumberFormat="1" applyFont="1" applyFill="1" applyBorder="1" applyAlignment="1">
      <alignment vertical="center" wrapText="1"/>
    </xf>
    <xf numFmtId="0" fontId="0" fillId="18" borderId="8" xfId="0" applyFill="1" applyBorder="1"/>
    <xf numFmtId="0" fontId="14" fillId="18" borderId="8" xfId="0" applyFont="1" applyFill="1" applyBorder="1"/>
    <xf numFmtId="0" fontId="34" fillId="17" borderId="0" xfId="0" applyFont="1" applyFill="1"/>
    <xf numFmtId="0" fontId="35" fillId="17" borderId="0" xfId="0" applyFont="1" applyFill="1"/>
    <xf numFmtId="0" fontId="2" fillId="11" borderId="15" xfId="0" applyFont="1" applyFill="1" applyBorder="1" applyAlignment="1">
      <alignment vertical="top" wrapText="1"/>
    </xf>
    <xf numFmtId="0" fontId="23" fillId="19" borderId="8" xfId="0" applyFont="1" applyFill="1" applyBorder="1"/>
    <xf numFmtId="0" fontId="0" fillId="19" borderId="8" xfId="0" applyFill="1" applyBorder="1"/>
    <xf numFmtId="0" fontId="34" fillId="17" borderId="0" xfId="0" applyFont="1" applyFill="1" applyAlignment="1">
      <alignment wrapText="1"/>
    </xf>
    <xf numFmtId="0" fontId="19" fillId="17" borderId="0" xfId="0" applyFont="1" applyFill="1"/>
    <xf numFmtId="165" fontId="36" fillId="17" borderId="10" xfId="3" applyNumberFormat="1" applyFont="1" applyFill="1" applyBorder="1" applyAlignment="1">
      <alignment vertical="center"/>
    </xf>
    <xf numFmtId="0" fontId="17" fillId="11" borderId="12" xfId="0" applyFont="1" applyFill="1" applyBorder="1" applyAlignment="1">
      <alignment horizontal="center" vertical="center" wrapText="1"/>
    </xf>
    <xf numFmtId="0" fontId="17" fillId="11" borderId="11" xfId="0" applyFont="1" applyFill="1" applyBorder="1" applyAlignment="1">
      <alignment horizontal="center" vertical="center" wrapText="1"/>
    </xf>
    <xf numFmtId="49" fontId="10" fillId="12" borderId="12" xfId="0" applyNumberFormat="1" applyFont="1" applyFill="1" applyBorder="1" applyAlignment="1">
      <alignment vertical="center" wrapText="1"/>
    </xf>
    <xf numFmtId="0" fontId="10" fillId="13" borderId="11" xfId="0" applyFont="1" applyFill="1" applyBorder="1" applyAlignment="1">
      <alignment vertical="center" wrapText="1"/>
    </xf>
    <xf numFmtId="0" fontId="10" fillId="13" borderId="34" xfId="0" applyFont="1" applyFill="1" applyBorder="1" applyAlignment="1">
      <alignment vertical="center" wrapText="1"/>
    </xf>
    <xf numFmtId="0" fontId="40" fillId="0" borderId="13" xfId="0" applyFont="1" applyBorder="1"/>
    <xf numFmtId="0" fontId="11" fillId="20" borderId="35" xfId="0" applyFont="1" applyFill="1" applyBorder="1" applyAlignment="1">
      <alignment vertical="top" wrapText="1"/>
    </xf>
    <xf numFmtId="0" fontId="21" fillId="21" borderId="8" xfId="0" applyFont="1" applyFill="1" applyBorder="1"/>
    <xf numFmtId="0" fontId="10" fillId="22" borderId="12" xfId="0" applyFont="1" applyFill="1" applyBorder="1" applyAlignment="1">
      <alignment vertical="center" wrapText="1"/>
    </xf>
    <xf numFmtId="0" fontId="10" fillId="23" borderId="12" xfId="0" applyFont="1" applyFill="1" applyBorder="1" applyAlignment="1">
      <alignment vertical="center" wrapText="1"/>
    </xf>
    <xf numFmtId="0" fontId="2" fillId="11" borderId="11" xfId="0" applyFont="1" applyFill="1" applyBorder="1" applyAlignment="1">
      <alignment horizontal="center" textRotation="90" wrapText="1"/>
    </xf>
    <xf numFmtId="0" fontId="2" fillId="11" borderId="35" xfId="0" applyFont="1" applyFill="1" applyBorder="1" applyAlignment="1">
      <alignment horizontal="center" vertical="center" wrapText="1"/>
    </xf>
    <xf numFmtId="0" fontId="23" fillId="17" borderId="8" xfId="0" applyFont="1" applyFill="1" applyBorder="1"/>
    <xf numFmtId="0" fontId="23" fillId="24" borderId="8" xfId="0" applyFont="1" applyFill="1" applyBorder="1"/>
    <xf numFmtId="0" fontId="0" fillId="24" borderId="8" xfId="0" applyFill="1" applyBorder="1"/>
    <xf numFmtId="0" fontId="0" fillId="25" borderId="8" xfId="0" applyFill="1" applyBorder="1"/>
    <xf numFmtId="0" fontId="0" fillId="25" borderId="19" xfId="0" applyFill="1" applyBorder="1"/>
    <xf numFmtId="169" fontId="22" fillId="22" borderId="12" xfId="0" applyNumberFormat="1" applyFont="1" applyFill="1" applyBorder="1" applyAlignment="1">
      <alignment vertical="center" wrapText="1"/>
    </xf>
    <xf numFmtId="170" fontId="0" fillId="0" borderId="8" xfId="0" applyNumberFormat="1" applyBorder="1"/>
    <xf numFmtId="170" fontId="0" fillId="0" borderId="8" xfId="1" applyNumberFormat="1" applyFont="1" applyBorder="1"/>
    <xf numFmtId="0" fontId="41" fillId="17" borderId="36" xfId="0" applyFont="1" applyFill="1" applyBorder="1"/>
    <xf numFmtId="0" fontId="43" fillId="17" borderId="0" xfId="0" applyFont="1" applyFill="1"/>
    <xf numFmtId="8" fontId="3" fillId="12" borderId="12" xfId="0" applyNumberFormat="1" applyFont="1" applyFill="1" applyBorder="1" applyAlignment="1">
      <alignment vertical="center" wrapText="1"/>
    </xf>
    <xf numFmtId="0" fontId="42" fillId="12" borderId="16" xfId="10" applyFill="1" applyBorder="1" applyAlignment="1">
      <alignment vertical="center" wrapText="1"/>
    </xf>
    <xf numFmtId="9" fontId="3" fillId="12" borderId="12" xfId="0" applyNumberFormat="1" applyFont="1" applyFill="1" applyBorder="1" applyAlignment="1">
      <alignment vertical="center" wrapText="1"/>
    </xf>
    <xf numFmtId="10" fontId="3" fillId="12" borderId="12" xfId="0" applyNumberFormat="1" applyFont="1" applyFill="1" applyBorder="1" applyAlignment="1">
      <alignment vertical="center" wrapText="1"/>
    </xf>
    <xf numFmtId="0" fontId="0" fillId="0" borderId="37" xfId="0" applyBorder="1"/>
    <xf numFmtId="0" fontId="2" fillId="11" borderId="0" xfId="0" applyFont="1" applyFill="1" applyAlignment="1">
      <alignment horizontal="center" vertical="center" wrapText="1"/>
    </xf>
    <xf numFmtId="0" fontId="23" fillId="26" borderId="8" xfId="0" applyFont="1" applyFill="1" applyBorder="1"/>
    <xf numFmtId="0" fontId="0" fillId="26" borderId="8" xfId="0" applyFill="1" applyBorder="1"/>
    <xf numFmtId="9" fontId="0" fillId="0" borderId="8" xfId="0" applyNumberFormat="1" applyBorder="1"/>
    <xf numFmtId="0" fontId="3" fillId="17" borderId="10" xfId="0" applyFont="1" applyFill="1" applyBorder="1" applyAlignment="1">
      <alignment vertical="center" wrapText="1"/>
    </xf>
    <xf numFmtId="0" fontId="3" fillId="17" borderId="26" xfId="0" applyFont="1" applyFill="1" applyBorder="1" applyAlignment="1">
      <alignment vertical="center" wrapText="1"/>
    </xf>
    <xf numFmtId="0" fontId="3" fillId="17" borderId="0" xfId="0" applyFont="1" applyFill="1" applyAlignment="1">
      <alignment vertical="center" wrapText="1"/>
    </xf>
    <xf numFmtId="0" fontId="8" fillId="17" borderId="0" xfId="0" applyFont="1" applyFill="1" applyAlignment="1">
      <alignment vertical="center" wrapText="1"/>
    </xf>
    <xf numFmtId="0" fontId="3" fillId="17" borderId="0" xfId="0" applyFont="1" applyFill="1" applyAlignment="1">
      <alignment vertical="top" wrapText="1"/>
    </xf>
    <xf numFmtId="0" fontId="13" fillId="17" borderId="0" xfId="0" applyFont="1" applyFill="1" applyAlignment="1">
      <alignment horizontal="left" vertical="center" indent="5"/>
    </xf>
    <xf numFmtId="0" fontId="12" fillId="17" borderId="0" xfId="0" applyFont="1" applyFill="1" applyAlignment="1">
      <alignment vertical="center"/>
    </xf>
    <xf numFmtId="165" fontId="20" fillId="27" borderId="35" xfId="3" applyNumberFormat="1" applyFont="1" applyFill="1" applyBorder="1" applyAlignment="1" applyProtection="1">
      <alignment vertical="center" wrapText="1"/>
      <protection locked="0"/>
    </xf>
    <xf numFmtId="0" fontId="0" fillId="0" borderId="8" xfId="0" applyBorder="1" applyProtection="1">
      <protection locked="0"/>
    </xf>
    <xf numFmtId="0" fontId="3" fillId="28" borderId="35" xfId="0" applyFont="1" applyFill="1" applyBorder="1" applyAlignment="1" applyProtection="1">
      <alignment vertical="center" wrapText="1"/>
      <protection locked="0"/>
    </xf>
    <xf numFmtId="0" fontId="0" fillId="28" borderId="35" xfId="0" applyFill="1" applyBorder="1" applyProtection="1">
      <protection locked="0"/>
    </xf>
    <xf numFmtId="0" fontId="3" fillId="28" borderId="38" xfId="0" applyFont="1" applyFill="1" applyBorder="1" applyAlignment="1" applyProtection="1">
      <alignment vertical="center" wrapText="1"/>
      <protection locked="0"/>
    </xf>
    <xf numFmtId="165" fontId="0" fillId="15" borderId="35" xfId="3" applyNumberFormat="1" applyFont="1" applyFill="1" applyBorder="1" applyProtection="1"/>
    <xf numFmtId="0" fontId="0" fillId="28" borderId="39" xfId="0" applyFill="1" applyBorder="1" applyProtection="1">
      <protection locked="0"/>
    </xf>
    <xf numFmtId="0" fontId="24" fillId="0" borderId="8" xfId="0" applyFont="1" applyBorder="1" applyProtection="1">
      <protection locked="0"/>
    </xf>
    <xf numFmtId="0" fontId="14" fillId="12" borderId="8" xfId="0" applyFont="1" applyFill="1" applyBorder="1"/>
    <xf numFmtId="0" fontId="14" fillId="0" borderId="19" xfId="0" applyFont="1" applyBorder="1" applyAlignment="1" applyProtection="1">
      <alignment horizontal="right"/>
      <protection locked="0"/>
    </xf>
    <xf numFmtId="0" fontId="0" fillId="0" borderId="19" xfId="0" applyBorder="1" applyProtection="1">
      <protection locked="0"/>
    </xf>
    <xf numFmtId="0" fontId="0" fillId="0" borderId="40" xfId="0" applyBorder="1"/>
    <xf numFmtId="0" fontId="13" fillId="17" borderId="0" xfId="0" applyFont="1" applyFill="1" applyAlignment="1">
      <alignment vertical="top"/>
    </xf>
    <xf numFmtId="0" fontId="11" fillId="0" borderId="41" xfId="0" applyFont="1" applyBorder="1" applyAlignment="1">
      <alignment horizontal="left" vertical="top" wrapText="1"/>
    </xf>
    <xf numFmtId="0" fontId="11" fillId="17" borderId="41" xfId="0" applyFont="1" applyFill="1" applyBorder="1" applyAlignment="1">
      <alignment horizontal="left" vertical="top" wrapText="1"/>
    </xf>
    <xf numFmtId="1" fontId="10" fillId="15" borderId="10" xfId="0" applyNumberFormat="1" applyFont="1" applyFill="1" applyBorder="1" applyAlignment="1">
      <alignment vertical="center"/>
    </xf>
    <xf numFmtId="0" fontId="2" fillId="11" borderId="14" xfId="0" applyFont="1" applyFill="1" applyBorder="1" applyAlignment="1">
      <alignment horizontal="center" textRotation="90" wrapText="1"/>
    </xf>
    <xf numFmtId="0" fontId="19" fillId="0" borderId="37" xfId="0" applyFont="1" applyBorder="1"/>
    <xf numFmtId="9" fontId="0" fillId="0" borderId="8" xfId="1" applyFont="1" applyBorder="1"/>
    <xf numFmtId="165" fontId="20" fillId="29" borderId="9" xfId="3" applyNumberFormat="1" applyFont="1" applyFill="1" applyBorder="1" applyAlignment="1">
      <alignment vertical="center" wrapText="1"/>
    </xf>
    <xf numFmtId="0" fontId="17" fillId="21" borderId="11" xfId="0" applyFont="1" applyFill="1" applyBorder="1" applyAlignment="1">
      <alignment horizontal="center" vertical="center" wrapText="1"/>
    </xf>
    <xf numFmtId="0" fontId="14" fillId="0" borderId="19" xfId="0" applyFont="1" applyBorder="1" applyAlignment="1">
      <alignment horizontal="right"/>
    </xf>
    <xf numFmtId="0" fontId="24" fillId="0" borderId="19" xfId="0" applyFont="1" applyBorder="1"/>
    <xf numFmtId="166" fontId="0" fillId="15" borderId="35" xfId="0" applyNumberFormat="1" applyFill="1" applyBorder="1"/>
    <xf numFmtId="0" fontId="26" fillId="0" borderId="0" xfId="0" applyFont="1"/>
    <xf numFmtId="0" fontId="0" fillId="28" borderId="14" xfId="0" applyFill="1" applyBorder="1" applyProtection="1">
      <protection locked="0"/>
    </xf>
    <xf numFmtId="165" fontId="10" fillId="27" borderId="35" xfId="3" applyNumberFormat="1" applyFont="1" applyFill="1" applyBorder="1" applyAlignment="1" applyProtection="1">
      <alignment vertical="center" wrapText="1"/>
      <protection locked="0"/>
    </xf>
    <xf numFmtId="0" fontId="10" fillId="28" borderId="42" xfId="0" applyFont="1" applyFill="1" applyBorder="1" applyAlignment="1" applyProtection="1">
      <alignment vertical="center" wrapText="1"/>
      <protection locked="0"/>
    </xf>
    <xf numFmtId="0" fontId="10" fillId="28" borderId="0" xfId="0" applyFont="1" applyFill="1" applyAlignment="1" applyProtection="1">
      <alignment vertical="center" wrapText="1"/>
      <protection locked="0"/>
    </xf>
    <xf numFmtId="164" fontId="10" fillId="27" borderId="10" xfId="0" applyNumberFormat="1" applyFont="1" applyFill="1" applyBorder="1" applyAlignment="1" applyProtection="1">
      <alignment vertical="center" wrapText="1"/>
      <protection locked="0"/>
    </xf>
    <xf numFmtId="49" fontId="10" fillId="28" borderId="10" xfId="0" applyNumberFormat="1" applyFont="1" applyFill="1" applyBorder="1" applyAlignment="1" applyProtection="1">
      <alignment vertical="center" wrapText="1"/>
      <protection locked="0"/>
    </xf>
    <xf numFmtId="0" fontId="20" fillId="28" borderId="10" xfId="0" applyFont="1" applyFill="1" applyBorder="1" applyProtection="1">
      <protection locked="0"/>
    </xf>
    <xf numFmtId="0" fontId="20" fillId="28" borderId="9" xfId="0" applyFont="1" applyFill="1" applyBorder="1" applyProtection="1">
      <protection locked="0"/>
    </xf>
    <xf numFmtId="0" fontId="20" fillId="28" borderId="26" xfId="0" applyFont="1" applyFill="1" applyBorder="1" applyProtection="1">
      <protection locked="0"/>
    </xf>
    <xf numFmtId="0" fontId="20" fillId="28" borderId="14" xfId="0" applyFont="1" applyFill="1" applyBorder="1" applyProtection="1">
      <protection locked="0"/>
    </xf>
    <xf numFmtId="165" fontId="20" fillId="27" borderId="14" xfId="3" applyNumberFormat="1" applyFont="1" applyFill="1" applyBorder="1" applyAlignment="1" applyProtection="1">
      <alignment vertical="center" wrapText="1"/>
      <protection locked="0"/>
    </xf>
    <xf numFmtId="0" fontId="20" fillId="28" borderId="15" xfId="0" applyFont="1" applyFill="1" applyBorder="1" applyProtection="1">
      <protection locked="0"/>
    </xf>
    <xf numFmtId="14" fontId="20" fillId="28" borderId="35" xfId="3" applyNumberFormat="1" applyFont="1" applyFill="1" applyBorder="1" applyAlignment="1" applyProtection="1">
      <alignment vertical="center" wrapText="1"/>
      <protection locked="0"/>
    </xf>
    <xf numFmtId="165" fontId="20" fillId="28" borderId="35" xfId="3" applyNumberFormat="1" applyFont="1" applyFill="1" applyBorder="1" applyAlignment="1" applyProtection="1">
      <alignment vertical="center" wrapText="1"/>
      <protection locked="0"/>
    </xf>
    <xf numFmtId="0" fontId="3" fillId="12" borderId="0" xfId="0" applyFont="1" applyFill="1" applyAlignment="1">
      <alignment vertical="center" wrapText="1"/>
    </xf>
    <xf numFmtId="0" fontId="3" fillId="12" borderId="0" xfId="0" applyFont="1" applyFill="1" applyAlignment="1">
      <alignment horizontal="left" vertical="center" wrapText="1"/>
    </xf>
    <xf numFmtId="0" fontId="15" fillId="17" borderId="0" xfId="0" applyFont="1" applyFill="1"/>
    <xf numFmtId="0" fontId="41" fillId="17" borderId="0" xfId="0" applyFont="1" applyFill="1"/>
    <xf numFmtId="0" fontId="42" fillId="17" borderId="0" xfId="10" applyFill="1" applyAlignment="1">
      <alignment vertical="top"/>
    </xf>
    <xf numFmtId="0" fontId="48" fillId="17" borderId="36" xfId="0" applyFont="1" applyFill="1" applyBorder="1"/>
    <xf numFmtId="0" fontId="47" fillId="17" borderId="0" xfId="0" applyFont="1" applyFill="1"/>
    <xf numFmtId="0" fontId="49" fillId="17" borderId="0" xfId="10" applyFont="1" applyFill="1" applyBorder="1"/>
    <xf numFmtId="0" fontId="49" fillId="17" borderId="0" xfId="10" applyFont="1" applyFill="1"/>
    <xf numFmtId="0" fontId="3" fillId="17" borderId="11" xfId="0" applyFont="1" applyFill="1" applyBorder="1" applyAlignment="1">
      <alignment vertical="center" wrapText="1"/>
    </xf>
    <xf numFmtId="165" fontId="22" fillId="14" borderId="43" xfId="3" applyNumberFormat="1" applyFont="1" applyFill="1" applyBorder="1" applyAlignment="1">
      <alignment vertical="center" wrapText="1"/>
    </xf>
    <xf numFmtId="165" fontId="22" fillId="14" borderId="44" xfId="3" applyNumberFormat="1" applyFont="1" applyFill="1" applyBorder="1" applyAlignment="1">
      <alignment vertical="center" wrapText="1"/>
    </xf>
    <xf numFmtId="165" fontId="10" fillId="30" borderId="10" xfId="3" applyNumberFormat="1" applyFont="1" applyFill="1" applyBorder="1" applyAlignment="1">
      <alignment vertical="center" wrapText="1"/>
    </xf>
    <xf numFmtId="0" fontId="0" fillId="28" borderId="9" xfId="0" applyFill="1" applyBorder="1" applyProtection="1">
      <protection locked="0"/>
    </xf>
    <xf numFmtId="0" fontId="0" fillId="28" borderId="10" xfId="0" applyFill="1" applyBorder="1" applyProtection="1">
      <protection locked="0"/>
    </xf>
    <xf numFmtId="0" fontId="0" fillId="17" borderId="25" xfId="0" applyFill="1" applyBorder="1"/>
    <xf numFmtId="0" fontId="9" fillId="11" borderId="23" xfId="0" applyFont="1" applyFill="1" applyBorder="1" applyAlignment="1">
      <alignment horizontal="center" vertical="center" wrapText="1"/>
    </xf>
    <xf numFmtId="0" fontId="9" fillId="11" borderId="29" xfId="0" applyFont="1" applyFill="1" applyBorder="1" applyAlignment="1">
      <alignment horizontal="center" vertical="center" wrapText="1"/>
    </xf>
    <xf numFmtId="167" fontId="52" fillId="21" borderId="35" xfId="0" applyNumberFormat="1" applyFont="1" applyFill="1" applyBorder="1" applyAlignment="1">
      <alignment horizontal="center" vertical="center"/>
    </xf>
    <xf numFmtId="0" fontId="33" fillId="31" borderId="8" xfId="0" applyFont="1" applyFill="1" applyBorder="1" applyAlignment="1">
      <alignment horizontal="center" vertical="center"/>
    </xf>
    <xf numFmtId="0" fontId="9" fillId="11" borderId="9"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9" xfId="0" applyFont="1" applyFill="1" applyBorder="1" applyAlignment="1">
      <alignment horizontal="left" vertical="center" wrapText="1"/>
    </xf>
    <xf numFmtId="0" fontId="10" fillId="13" borderId="35" xfId="0" applyFont="1" applyFill="1" applyBorder="1" applyAlignment="1">
      <alignment vertical="center" wrapText="1"/>
    </xf>
    <xf numFmtId="0" fontId="0" fillId="32" borderId="20" xfId="0" applyFill="1" applyBorder="1"/>
    <xf numFmtId="0" fontId="53" fillId="32" borderId="20" xfId="0" applyFont="1" applyFill="1" applyBorder="1"/>
    <xf numFmtId="0" fontId="19" fillId="17" borderId="41" xfId="0" applyFont="1" applyFill="1" applyBorder="1" applyAlignment="1">
      <alignment horizontal="left" vertical="top" wrapText="1"/>
    </xf>
    <xf numFmtId="0" fontId="3" fillId="12" borderId="45" xfId="0" applyFont="1" applyFill="1" applyBorder="1" applyAlignment="1">
      <alignment horizontal="center" vertical="center" wrapText="1"/>
    </xf>
    <xf numFmtId="0" fontId="60" fillId="20" borderId="8" xfId="0" applyFont="1" applyFill="1" applyBorder="1" applyAlignment="1">
      <alignment vertical="center" wrapText="1"/>
    </xf>
    <xf numFmtId="0" fontId="3" fillId="20" borderId="12" xfId="0" applyFont="1" applyFill="1" applyBorder="1" applyAlignment="1">
      <alignment vertical="center" wrapText="1"/>
    </xf>
    <xf numFmtId="0" fontId="10" fillId="23" borderId="16" xfId="0" applyFont="1" applyFill="1" applyBorder="1" applyAlignment="1">
      <alignment vertical="center" wrapText="1"/>
    </xf>
    <xf numFmtId="0" fontId="3" fillId="12" borderId="42" xfId="0" applyFont="1" applyFill="1" applyBorder="1" applyAlignment="1">
      <alignment vertical="center" wrapText="1"/>
    </xf>
    <xf numFmtId="0" fontId="10" fillId="23" borderId="46" xfId="0" applyFont="1" applyFill="1" applyBorder="1" applyAlignment="1">
      <alignment vertical="center" wrapText="1"/>
    </xf>
    <xf numFmtId="0" fontId="10" fillId="23" borderId="42" xfId="0" applyFont="1" applyFill="1" applyBorder="1" applyAlignment="1">
      <alignment vertical="center" wrapText="1"/>
    </xf>
    <xf numFmtId="0" fontId="22" fillId="0" borderId="37" xfId="0" applyFont="1" applyBorder="1" applyAlignment="1">
      <alignment horizontal="center" vertical="center" wrapText="1"/>
    </xf>
    <xf numFmtId="0" fontId="22" fillId="0" borderId="12" xfId="0" applyFont="1" applyBorder="1" applyAlignment="1">
      <alignment horizontal="center" vertical="center" wrapText="1"/>
    </xf>
    <xf numFmtId="0" fontId="2" fillId="17" borderId="47" xfId="0" applyFont="1" applyFill="1" applyBorder="1" applyAlignment="1">
      <alignment horizontal="center" vertical="center" wrapText="1"/>
    </xf>
    <xf numFmtId="43" fontId="10" fillId="14" borderId="10" xfId="3" applyFont="1" applyFill="1" applyBorder="1" applyAlignment="1">
      <alignment vertical="center" wrapText="1"/>
    </xf>
    <xf numFmtId="0" fontId="0" fillId="0" borderId="48" xfId="0" applyBorder="1"/>
    <xf numFmtId="0" fontId="0" fillId="0" borderId="49" xfId="0" applyBorder="1"/>
    <xf numFmtId="0" fontId="3" fillId="0" borderId="12" xfId="0" applyFont="1" applyBorder="1" applyAlignment="1">
      <alignment vertical="center" wrapText="1"/>
    </xf>
    <xf numFmtId="0" fontId="10" fillId="33" borderId="12" xfId="0" applyFont="1" applyFill="1" applyBorder="1" applyAlignment="1">
      <alignment vertical="center" wrapText="1"/>
    </xf>
    <xf numFmtId="164" fontId="62" fillId="27" borderId="10" xfId="0" applyNumberFormat="1" applyFont="1" applyFill="1" applyBorder="1" applyAlignment="1" applyProtection="1">
      <alignment vertical="center" wrapText="1"/>
      <protection locked="0"/>
    </xf>
    <xf numFmtId="172" fontId="30" fillId="12" borderId="12" xfId="0" applyNumberFormat="1" applyFont="1" applyFill="1" applyBorder="1" applyAlignment="1">
      <alignment vertical="center" wrapText="1"/>
    </xf>
    <xf numFmtId="0" fontId="0" fillId="0" borderId="8" xfId="0" applyBorder="1" applyAlignment="1">
      <alignment horizontal="left"/>
    </xf>
    <xf numFmtId="0" fontId="3" fillId="12" borderId="12" xfId="0" applyFont="1" applyFill="1" applyBorder="1" applyAlignment="1">
      <alignment vertical="center"/>
    </xf>
    <xf numFmtId="0" fontId="2" fillId="11" borderId="9" xfId="0" applyFont="1" applyFill="1" applyBorder="1" applyAlignment="1">
      <alignment horizontal="right" vertical="center" wrapText="1"/>
    </xf>
    <xf numFmtId="49" fontId="10" fillId="12" borderId="11" xfId="0" applyNumberFormat="1" applyFont="1" applyFill="1" applyBorder="1" applyAlignment="1">
      <alignment horizontal="center" vertical="center" wrapText="1"/>
    </xf>
    <xf numFmtId="1" fontId="10" fillId="15" borderId="10" xfId="0" applyNumberFormat="1" applyFont="1" applyFill="1" applyBorder="1" applyAlignment="1">
      <alignment horizontal="center" vertical="center" wrapText="1"/>
    </xf>
    <xf numFmtId="173" fontId="0" fillId="15" borderId="35" xfId="3" applyNumberFormat="1" applyFont="1" applyFill="1" applyBorder="1" applyProtection="1"/>
    <xf numFmtId="43" fontId="10" fillId="15" borderId="10" xfId="3" applyFont="1" applyFill="1" applyBorder="1" applyAlignment="1" applyProtection="1">
      <alignment vertical="center" wrapText="1"/>
    </xf>
    <xf numFmtId="43" fontId="10" fillId="15" borderId="10" xfId="3" applyFont="1" applyFill="1" applyBorder="1" applyAlignment="1">
      <alignment vertical="center" wrapText="1"/>
    </xf>
    <xf numFmtId="43" fontId="10" fillId="15" borderId="26" xfId="3" applyFont="1" applyFill="1" applyBorder="1" applyAlignment="1">
      <alignment vertical="center" wrapText="1"/>
    </xf>
    <xf numFmtId="43" fontId="10" fillId="15" borderId="50" xfId="3" applyFont="1" applyFill="1" applyBorder="1" applyAlignment="1">
      <alignment vertical="center" wrapText="1"/>
    </xf>
    <xf numFmtId="0" fontId="0" fillId="0" borderId="25" xfId="0" applyBorder="1" applyProtection="1">
      <protection locked="0"/>
    </xf>
    <xf numFmtId="0" fontId="0" fillId="0" borderId="51" xfId="0" applyBorder="1"/>
    <xf numFmtId="0" fontId="0" fillId="0" borderId="52" xfId="0" applyBorder="1"/>
    <xf numFmtId="0" fontId="0" fillId="0" borderId="52" xfId="0" applyBorder="1" applyProtection="1">
      <protection locked="0"/>
    </xf>
    <xf numFmtId="165" fontId="31" fillId="14" borderId="32" xfId="3" applyNumberFormat="1" applyFont="1" applyFill="1" applyBorder="1" applyAlignment="1">
      <alignment vertical="center" wrapText="1"/>
    </xf>
    <xf numFmtId="0" fontId="0" fillId="0" borderId="53" xfId="0" applyBorder="1"/>
    <xf numFmtId="0" fontId="0" fillId="0" borderId="54" xfId="0" applyBorder="1"/>
    <xf numFmtId="165" fontId="22" fillId="0" borderId="55" xfId="3" applyNumberFormat="1" applyFont="1" applyFill="1" applyBorder="1" applyAlignment="1">
      <alignment vertical="center" wrapText="1"/>
    </xf>
    <xf numFmtId="165" fontId="31" fillId="0" borderId="56" xfId="3" applyNumberFormat="1" applyFont="1" applyFill="1" applyBorder="1" applyAlignment="1">
      <alignment vertical="center" wrapText="1"/>
    </xf>
    <xf numFmtId="165" fontId="31" fillId="0" borderId="57" xfId="3" applyNumberFormat="1" applyFont="1" applyFill="1" applyBorder="1" applyAlignment="1">
      <alignment vertical="center" wrapText="1"/>
    </xf>
    <xf numFmtId="0" fontId="8" fillId="12" borderId="58" xfId="0" applyFont="1" applyFill="1" applyBorder="1" applyAlignment="1">
      <alignment vertical="center" wrapText="1"/>
    </xf>
    <xf numFmtId="168" fontId="10" fillId="15" borderId="10" xfId="3" applyNumberFormat="1" applyFont="1" applyFill="1" applyBorder="1" applyAlignment="1">
      <alignment vertical="center" wrapText="1"/>
    </xf>
    <xf numFmtId="43" fontId="0" fillId="0" borderId="8" xfId="0" applyNumberFormat="1" applyBorder="1"/>
    <xf numFmtId="0" fontId="19" fillId="17" borderId="8" xfId="0" applyFont="1" applyFill="1" applyBorder="1"/>
    <xf numFmtId="165" fontId="20" fillId="27" borderId="59" xfId="3" applyNumberFormat="1" applyFont="1" applyFill="1" applyBorder="1" applyAlignment="1" applyProtection="1">
      <alignment vertical="center" wrapText="1"/>
      <protection locked="0"/>
    </xf>
    <xf numFmtId="2" fontId="0" fillId="15" borderId="9" xfId="0" applyNumberFormat="1" applyFill="1" applyBorder="1"/>
    <xf numFmtId="165" fontId="64" fillId="29" borderId="9" xfId="3" applyNumberFormat="1" applyFont="1" applyFill="1" applyBorder="1" applyAlignment="1">
      <alignment vertical="center" wrapText="1"/>
    </xf>
    <xf numFmtId="0" fontId="45" fillId="17" borderId="25" xfId="0" applyFont="1" applyFill="1" applyBorder="1"/>
    <xf numFmtId="0" fontId="25" fillId="0" borderId="60" xfId="0" applyFont="1" applyBorder="1" applyAlignment="1">
      <alignment horizontal="left"/>
    </xf>
    <xf numFmtId="43" fontId="10" fillId="27" borderId="10" xfId="3" applyFont="1" applyFill="1" applyBorder="1" applyAlignment="1" applyProtection="1">
      <alignment vertical="center" wrapText="1"/>
      <protection locked="0"/>
    </xf>
    <xf numFmtId="43" fontId="10" fillId="27" borderId="26" xfId="3" applyFont="1" applyFill="1" applyBorder="1" applyAlignment="1" applyProtection="1">
      <alignment vertical="center" wrapText="1"/>
      <protection locked="0"/>
    </xf>
    <xf numFmtId="17" fontId="20" fillId="28" borderId="61" xfId="0" applyNumberFormat="1" applyFont="1" applyFill="1" applyBorder="1" applyAlignment="1" applyProtection="1">
      <alignment horizontal="left" vertical="top" wrapText="1"/>
      <protection locked="0"/>
    </xf>
    <xf numFmtId="0" fontId="14" fillId="12" borderId="20" xfId="0" applyFont="1" applyFill="1" applyBorder="1"/>
    <xf numFmtId="0" fontId="15" fillId="0" borderId="19" xfId="0" applyFont="1" applyBorder="1" applyAlignment="1">
      <alignment horizontal="left" vertical="top" wrapText="1"/>
    </xf>
    <xf numFmtId="0" fontId="0" fillId="0" borderId="62" xfId="0" applyBorder="1"/>
    <xf numFmtId="0" fontId="15" fillId="0" borderId="8" xfId="0" applyFont="1" applyBorder="1" applyAlignment="1">
      <alignment horizontal="left" vertical="top" wrapText="1"/>
    </xf>
    <xf numFmtId="165" fontId="10" fillId="14" borderId="63" xfId="3" applyNumberFormat="1" applyFont="1" applyFill="1" applyBorder="1" applyAlignment="1">
      <alignment vertical="center" wrapText="1"/>
    </xf>
    <xf numFmtId="0" fontId="2" fillId="11" borderId="64" xfId="0" applyFont="1" applyFill="1" applyBorder="1" applyAlignment="1">
      <alignment vertical="center" wrapText="1"/>
    </xf>
    <xf numFmtId="0" fontId="2" fillId="11" borderId="47" xfId="0" applyFont="1" applyFill="1" applyBorder="1" applyAlignment="1">
      <alignment vertical="center" wrapText="1"/>
    </xf>
    <xf numFmtId="0" fontId="2" fillId="0" borderId="47" xfId="0" applyFont="1" applyBorder="1" applyAlignment="1">
      <alignment vertical="center" wrapText="1"/>
    </xf>
    <xf numFmtId="0" fontId="2" fillId="17" borderId="12" xfId="0" applyFont="1" applyFill="1" applyBorder="1" applyAlignment="1">
      <alignment horizontal="center" vertical="center" wrapText="1"/>
    </xf>
    <xf numFmtId="0" fontId="2" fillId="0" borderId="8" xfId="0" applyFont="1" applyBorder="1" applyAlignment="1">
      <alignment vertical="center" wrapText="1"/>
    </xf>
    <xf numFmtId="0" fontId="2" fillId="11" borderId="45" xfId="0" applyFont="1" applyFill="1" applyBorder="1" applyAlignment="1">
      <alignment vertical="center" wrapText="1"/>
    </xf>
    <xf numFmtId="0" fontId="2" fillId="11" borderId="42" xfId="0" applyFont="1" applyFill="1" applyBorder="1" applyAlignment="1">
      <alignment vertical="center" wrapText="1"/>
    </xf>
    <xf numFmtId="0" fontId="2" fillId="0" borderId="65" xfId="0" applyFont="1" applyBorder="1" applyAlignment="1">
      <alignment vertical="center" wrapText="1"/>
    </xf>
    <xf numFmtId="0" fontId="2" fillId="0" borderId="66" xfId="0" applyFont="1" applyBorder="1" applyAlignment="1">
      <alignment vertical="center" wrapText="1"/>
    </xf>
    <xf numFmtId="0" fontId="0" fillId="17" borderId="67" xfId="0" applyFill="1" applyBorder="1"/>
    <xf numFmtId="0" fontId="0" fillId="17" borderId="68" xfId="0" applyFill="1" applyBorder="1"/>
    <xf numFmtId="0" fontId="2" fillId="0" borderId="37" xfId="0" applyFont="1" applyBorder="1" applyAlignment="1">
      <alignment vertical="center" wrapText="1"/>
    </xf>
    <xf numFmtId="0" fontId="2" fillId="0" borderId="20" xfId="0" applyFont="1" applyBorder="1" applyAlignment="1">
      <alignment vertical="center" wrapText="1"/>
    </xf>
    <xf numFmtId="0" fontId="2" fillId="0" borderId="69" xfId="0" applyFont="1" applyBorder="1" applyAlignment="1">
      <alignment vertical="center" wrapText="1"/>
    </xf>
    <xf numFmtId="0" fontId="2" fillId="0" borderId="70" xfId="0" applyFont="1" applyBorder="1" applyAlignment="1">
      <alignment vertical="center" wrapText="1"/>
    </xf>
    <xf numFmtId="0" fontId="2" fillId="0" borderId="13" xfId="0" applyFont="1" applyBorder="1" applyAlignment="1">
      <alignment vertical="center" wrapText="1"/>
    </xf>
    <xf numFmtId="0" fontId="0" fillId="17" borderId="71" xfId="0" applyFill="1" applyBorder="1"/>
    <xf numFmtId="0" fontId="26" fillId="0" borderId="72" xfId="0" applyFont="1" applyBorder="1" applyAlignment="1">
      <alignment vertical="center"/>
    </xf>
    <xf numFmtId="0" fontId="19" fillId="0" borderId="40" xfId="0" applyFont="1" applyBorder="1"/>
    <xf numFmtId="0" fontId="30" fillId="20" borderId="11" xfId="0" applyFont="1" applyFill="1" applyBorder="1" applyAlignment="1">
      <alignment vertical="center" wrapText="1"/>
    </xf>
    <xf numFmtId="0" fontId="8" fillId="12" borderId="73" xfId="0" applyFont="1" applyFill="1" applyBorder="1" applyAlignment="1">
      <alignment vertical="center" wrapText="1"/>
    </xf>
    <xf numFmtId="0" fontId="3" fillId="12" borderId="74" xfId="0" applyFont="1" applyFill="1" applyBorder="1" applyAlignment="1">
      <alignment vertical="center" wrapText="1"/>
    </xf>
    <xf numFmtId="17" fontId="20" fillId="0" borderId="61" xfId="0" applyNumberFormat="1" applyFont="1" applyBorder="1" applyAlignment="1" applyProtection="1">
      <alignment horizontal="left" vertical="top" wrapText="1"/>
      <protection locked="0"/>
    </xf>
    <xf numFmtId="0" fontId="20" fillId="0" borderId="8" xfId="0" applyFont="1" applyBorder="1" applyProtection="1">
      <protection locked="0"/>
    </xf>
    <xf numFmtId="17" fontId="20" fillId="0" borderId="42" xfId="0" applyNumberFormat="1" applyFont="1" applyBorder="1" applyAlignment="1" applyProtection="1">
      <alignment horizontal="left" vertical="top" wrapText="1"/>
      <protection locked="0"/>
    </xf>
    <xf numFmtId="17" fontId="20" fillId="0" borderId="19" xfId="0" applyNumberFormat="1" applyFont="1" applyBorder="1" applyAlignment="1" applyProtection="1">
      <alignment horizontal="left" vertical="top" wrapText="1"/>
      <protection locked="0"/>
    </xf>
    <xf numFmtId="17" fontId="20" fillId="0" borderId="8" xfId="0" applyNumberFormat="1" applyFont="1" applyBorder="1" applyAlignment="1" applyProtection="1">
      <alignment horizontal="left" vertical="top" wrapText="1"/>
      <protection locked="0"/>
    </xf>
    <xf numFmtId="17" fontId="20" fillId="0" borderId="66" xfId="0" applyNumberFormat="1" applyFont="1" applyBorder="1" applyAlignment="1" applyProtection="1">
      <alignment horizontal="left" vertical="top" wrapText="1"/>
      <protection locked="0"/>
    </xf>
    <xf numFmtId="17" fontId="20" fillId="0" borderId="69" xfId="0" applyNumberFormat="1" applyFont="1" applyBorder="1" applyAlignment="1" applyProtection="1">
      <alignment horizontal="left" vertical="top" wrapText="1"/>
      <protection locked="0"/>
    </xf>
    <xf numFmtId="17" fontId="20" fillId="0" borderId="75" xfId="0" applyNumberFormat="1" applyFont="1" applyBorder="1" applyAlignment="1" applyProtection="1">
      <alignment horizontal="left" vertical="top" wrapText="1"/>
      <protection locked="0"/>
    </xf>
    <xf numFmtId="0" fontId="3" fillId="0" borderId="11" xfId="0" applyFont="1" applyBorder="1" applyAlignment="1">
      <alignment vertical="center" wrapText="1"/>
    </xf>
    <xf numFmtId="0" fontId="6" fillId="17" borderId="11" xfId="0" applyFont="1" applyFill="1" applyBorder="1" applyAlignment="1">
      <alignment vertical="center" wrapText="1"/>
    </xf>
    <xf numFmtId="1" fontId="10" fillId="17" borderId="10" xfId="0" applyNumberFormat="1" applyFont="1" applyFill="1" applyBorder="1" applyAlignment="1">
      <alignment vertical="center" wrapText="1"/>
    </xf>
    <xf numFmtId="0" fontId="14" fillId="17" borderId="20" xfId="0" applyFont="1" applyFill="1" applyBorder="1"/>
    <xf numFmtId="0" fontId="16" fillId="17" borderId="0" xfId="0" applyFont="1" applyFill="1"/>
    <xf numFmtId="0" fontId="14" fillId="17" borderId="0" xfId="0" applyFont="1" applyFill="1"/>
    <xf numFmtId="165" fontId="22" fillId="34" borderId="22" xfId="3" applyNumberFormat="1" applyFont="1" applyFill="1" applyBorder="1" applyAlignment="1">
      <alignment vertical="center" wrapText="1"/>
    </xf>
    <xf numFmtId="165" fontId="22" fillId="34" borderId="76" xfId="3" applyNumberFormat="1" applyFont="1" applyFill="1" applyBorder="1" applyAlignment="1">
      <alignment vertical="center" wrapText="1"/>
    </xf>
    <xf numFmtId="165" fontId="22" fillId="34" borderId="18" xfId="3" applyNumberFormat="1" applyFont="1" applyFill="1" applyBorder="1" applyAlignment="1">
      <alignment vertical="center" wrapText="1"/>
    </xf>
    <xf numFmtId="165" fontId="10" fillId="34" borderId="10" xfId="3" applyNumberFormat="1" applyFont="1" applyFill="1" applyBorder="1" applyAlignment="1">
      <alignment vertical="center" wrapText="1"/>
    </xf>
    <xf numFmtId="0" fontId="3" fillId="20" borderId="11" xfId="0" applyFont="1" applyFill="1" applyBorder="1" applyAlignment="1">
      <alignment vertical="center" wrapText="1"/>
    </xf>
    <xf numFmtId="165" fontId="63" fillId="0" borderId="23" xfId="3" applyNumberFormat="1" applyFont="1" applyFill="1" applyBorder="1" applyAlignment="1">
      <alignment vertical="center" wrapText="1"/>
    </xf>
    <xf numFmtId="165" fontId="63" fillId="0" borderId="22" xfId="3" applyNumberFormat="1" applyFont="1" applyFill="1" applyBorder="1" applyAlignment="1">
      <alignment vertical="center" wrapText="1"/>
    </xf>
    <xf numFmtId="165" fontId="63" fillId="0" borderId="10" xfId="3" applyNumberFormat="1" applyFont="1" applyFill="1" applyBorder="1" applyAlignment="1">
      <alignment vertical="center" wrapText="1"/>
    </xf>
    <xf numFmtId="15" fontId="61" fillId="0" borderId="8" xfId="0" applyNumberFormat="1" applyFont="1" applyBorder="1"/>
    <xf numFmtId="0" fontId="66" fillId="0" borderId="8" xfId="0" applyFont="1" applyBorder="1"/>
    <xf numFmtId="0" fontId="3" fillId="35" borderId="12" xfId="0" applyFont="1" applyFill="1" applyBorder="1" applyAlignment="1">
      <alignment vertical="center" wrapText="1"/>
    </xf>
    <xf numFmtId="171" fontId="10" fillId="36" borderId="12" xfId="0" applyNumberFormat="1" applyFont="1" applyFill="1" applyBorder="1" applyAlignment="1">
      <alignment vertical="center" wrapText="1"/>
    </xf>
    <xf numFmtId="0" fontId="10" fillId="36" borderId="12" xfId="0" applyFont="1" applyFill="1" applyBorder="1" applyAlignment="1">
      <alignment vertical="center" wrapText="1"/>
    </xf>
    <xf numFmtId="169" fontId="3" fillId="35" borderId="12" xfId="0" applyNumberFormat="1" applyFont="1" applyFill="1" applyBorder="1" applyAlignment="1">
      <alignment vertical="center" wrapText="1"/>
    </xf>
    <xf numFmtId="169" fontId="10" fillId="36" borderId="12" xfId="0" applyNumberFormat="1" applyFont="1" applyFill="1" applyBorder="1" applyAlignment="1">
      <alignment vertical="center" wrapText="1"/>
    </xf>
    <xf numFmtId="0" fontId="10" fillId="36" borderId="12" xfId="0" applyFont="1" applyFill="1" applyBorder="1" applyAlignment="1">
      <alignment horizontal="right" vertical="center" wrapText="1"/>
    </xf>
    <xf numFmtId="164" fontId="10" fillId="27" borderId="15" xfId="0" applyNumberFormat="1" applyFont="1" applyFill="1" applyBorder="1" applyAlignment="1" applyProtection="1">
      <alignment vertical="center" wrapText="1"/>
      <protection locked="0"/>
    </xf>
    <xf numFmtId="168" fontId="10" fillId="15" borderId="15" xfId="3" applyNumberFormat="1" applyFont="1" applyFill="1" applyBorder="1" applyAlignment="1">
      <alignment vertical="center" wrapText="1"/>
    </xf>
    <xf numFmtId="0" fontId="10" fillId="28" borderId="45" xfId="0" applyFont="1" applyFill="1" applyBorder="1" applyAlignment="1" applyProtection="1">
      <alignment vertical="center" wrapText="1"/>
      <protection locked="0"/>
    </xf>
    <xf numFmtId="171" fontId="52" fillId="36" borderId="12" xfId="0" applyNumberFormat="1" applyFont="1" applyFill="1" applyBorder="1" applyAlignment="1">
      <alignment vertical="center" wrapText="1"/>
    </xf>
    <xf numFmtId="0" fontId="52" fillId="36" borderId="12" xfId="0" applyFont="1" applyFill="1" applyBorder="1" applyAlignment="1">
      <alignment vertical="center" wrapText="1"/>
    </xf>
    <xf numFmtId="0" fontId="10" fillId="36" borderId="53" xfId="4" applyFont="1" applyFill="1" applyBorder="1" applyAlignment="1">
      <alignment horizontal="right"/>
    </xf>
    <xf numFmtId="0" fontId="10" fillId="36" borderId="54" xfId="4" applyFont="1" applyFill="1" applyBorder="1" applyAlignment="1">
      <alignment horizontal="right"/>
    </xf>
    <xf numFmtId="0" fontId="10" fillId="36" borderId="77" xfId="4" applyFont="1" applyFill="1" applyBorder="1" applyAlignment="1">
      <alignment horizontal="right"/>
    </xf>
    <xf numFmtId="169" fontId="52" fillId="36" borderId="12" xfId="0" applyNumberFormat="1" applyFont="1" applyFill="1" applyBorder="1" applyAlignment="1">
      <alignment vertical="center" wrapText="1"/>
    </xf>
    <xf numFmtId="0" fontId="11" fillId="0" borderId="49" xfId="0" applyFont="1" applyBorder="1" applyAlignment="1">
      <alignment horizontal="left" vertical="top" wrapText="1"/>
    </xf>
    <xf numFmtId="0" fontId="11" fillId="0" borderId="41" xfId="0" applyFont="1" applyBorder="1" applyAlignment="1">
      <alignment horizontal="left" vertical="top" wrapText="1"/>
    </xf>
    <xf numFmtId="0" fontId="25" fillId="0" borderId="48" xfId="0" applyFont="1" applyBorder="1" applyAlignment="1">
      <alignment horizontal="left" vertical="top"/>
    </xf>
    <xf numFmtId="0" fontId="25" fillId="0" borderId="61" xfId="0" applyFont="1" applyBorder="1" applyAlignment="1">
      <alignment horizontal="left" vertical="top"/>
    </xf>
    <xf numFmtId="0" fontId="37" fillId="0" borderId="19" xfId="0" applyFont="1" applyBorder="1" applyAlignment="1">
      <alignment horizontal="left" vertical="top" wrapText="1"/>
    </xf>
    <xf numFmtId="0" fontId="37" fillId="0" borderId="30" xfId="0" applyFont="1" applyBorder="1" applyAlignment="1">
      <alignment horizontal="left" vertical="top" wrapText="1"/>
    </xf>
    <xf numFmtId="0" fontId="2" fillId="11" borderId="22"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11" fillId="0" borderId="78" xfId="0" applyFont="1" applyBorder="1" applyAlignment="1">
      <alignment horizontal="left" vertical="top" wrapText="1"/>
    </xf>
    <xf numFmtId="0" fontId="11" fillId="0" borderId="79" xfId="0" applyFont="1" applyBorder="1" applyAlignment="1">
      <alignment horizontal="left" vertical="top" wrapText="1"/>
    </xf>
    <xf numFmtId="0" fontId="11" fillId="0" borderId="80" xfId="0" applyFont="1" applyBorder="1" applyAlignment="1">
      <alignment horizontal="left" vertical="top" wrapText="1"/>
    </xf>
    <xf numFmtId="0" fontId="2" fillId="11" borderId="64" xfId="0" applyFont="1" applyFill="1" applyBorder="1" applyAlignment="1">
      <alignment horizontal="center" vertical="center" wrapText="1"/>
    </xf>
    <xf numFmtId="0" fontId="2" fillId="11" borderId="47" xfId="0" applyFont="1" applyFill="1" applyBorder="1" applyAlignment="1">
      <alignment horizontal="center" vertical="center" wrapText="1"/>
    </xf>
    <xf numFmtId="0" fontId="2" fillId="11" borderId="65" xfId="0" applyFont="1" applyFill="1" applyBorder="1" applyAlignment="1">
      <alignment horizontal="center" vertical="center" wrapText="1"/>
    </xf>
    <xf numFmtId="0" fontId="22" fillId="27" borderId="81" xfId="0" applyFont="1" applyFill="1" applyBorder="1" applyAlignment="1">
      <alignment horizontal="left"/>
    </xf>
    <xf numFmtId="0" fontId="22" fillId="27" borderId="39" xfId="0" applyFont="1" applyFill="1" applyBorder="1" applyAlignment="1">
      <alignment horizontal="left"/>
    </xf>
    <xf numFmtId="1" fontId="22" fillId="37" borderId="81" xfId="0" applyNumberFormat="1" applyFont="1" applyFill="1" applyBorder="1" applyAlignment="1">
      <alignment horizontal="left" vertical="center" wrapText="1"/>
    </xf>
    <xf numFmtId="1" fontId="22" fillId="37" borderId="39" xfId="0" applyNumberFormat="1" applyFont="1" applyFill="1" applyBorder="1" applyAlignment="1">
      <alignment horizontal="left" vertical="center" wrapText="1"/>
    </xf>
    <xf numFmtId="0" fontId="25" fillId="0" borderId="60" xfId="0" applyFont="1" applyBorder="1" applyAlignment="1">
      <alignment horizontal="left" vertical="top"/>
    </xf>
    <xf numFmtId="0" fontId="25" fillId="0" borderId="82" xfId="0" applyFont="1" applyBorder="1" applyAlignment="1">
      <alignment horizontal="left" vertical="top"/>
    </xf>
    <xf numFmtId="0" fontId="25" fillId="0" borderId="83" xfId="0" applyFont="1" applyBorder="1" applyAlignment="1">
      <alignment horizontal="left" vertical="top"/>
    </xf>
    <xf numFmtId="0" fontId="65" fillId="0" borderId="78" xfId="0" applyFont="1" applyBorder="1" applyAlignment="1">
      <alignment horizontal="left" vertical="top" wrapText="1"/>
    </xf>
    <xf numFmtId="0" fontId="15" fillId="0" borderId="79" xfId="0" applyFont="1" applyBorder="1" applyAlignment="1">
      <alignment horizontal="left" vertical="top" wrapText="1"/>
    </xf>
    <xf numFmtId="0" fontId="15" fillId="0" borderId="80" xfId="0" applyFont="1" applyBorder="1" applyAlignment="1">
      <alignment horizontal="left" vertical="top" wrapText="1"/>
    </xf>
    <xf numFmtId="0" fontId="15" fillId="0" borderId="78" xfId="0" applyFont="1" applyBorder="1" applyAlignment="1">
      <alignment horizontal="left" vertical="top" wrapText="1"/>
    </xf>
    <xf numFmtId="0" fontId="22" fillId="28" borderId="81" xfId="0" applyFont="1" applyFill="1" applyBorder="1" applyAlignment="1">
      <alignment vertical="center"/>
    </xf>
    <xf numFmtId="0" fontId="22" fillId="28" borderId="39" xfId="0" applyFont="1" applyFill="1" applyBorder="1" applyAlignment="1">
      <alignment vertical="center"/>
    </xf>
    <xf numFmtId="0" fontId="22" fillId="12" borderId="81" xfId="0" applyFont="1" applyFill="1" applyBorder="1" applyAlignment="1">
      <alignment horizontal="left" vertical="center"/>
    </xf>
    <xf numFmtId="0" fontId="22" fillId="12" borderId="39" xfId="0" applyFont="1" applyFill="1" applyBorder="1" applyAlignment="1">
      <alignment horizontal="left" vertical="center"/>
    </xf>
    <xf numFmtId="0" fontId="11" fillId="0" borderId="19" xfId="0" applyFont="1" applyBorder="1" applyAlignment="1">
      <alignment horizontal="left" vertical="top" wrapText="1"/>
    </xf>
    <xf numFmtId="0" fontId="11" fillId="0" borderId="30" xfId="0" applyFont="1" applyBorder="1" applyAlignment="1">
      <alignment horizontal="left" vertical="top" wrapText="1"/>
    </xf>
    <xf numFmtId="0" fontId="11" fillId="0" borderId="25" xfId="0" applyFont="1" applyBorder="1" applyAlignment="1">
      <alignment horizontal="left" vertical="top" wrapText="1"/>
    </xf>
    <xf numFmtId="0" fontId="25" fillId="17" borderId="60" xfId="0" applyFont="1" applyFill="1" applyBorder="1" applyAlignment="1">
      <alignment horizontal="left" vertical="top"/>
    </xf>
    <xf numFmtId="0" fontId="25" fillId="17" borderId="82" xfId="0" applyFont="1" applyFill="1" applyBorder="1" applyAlignment="1">
      <alignment horizontal="left" vertical="top"/>
    </xf>
    <xf numFmtId="0" fontId="11" fillId="17" borderId="84" xfId="0" applyFont="1" applyFill="1" applyBorder="1" applyAlignment="1">
      <alignment horizontal="left" vertical="top" wrapText="1"/>
    </xf>
    <xf numFmtId="0" fontId="11" fillId="17" borderId="85" xfId="0" applyFont="1" applyFill="1" applyBorder="1" applyAlignment="1">
      <alignment horizontal="left" vertical="top" wrapText="1"/>
    </xf>
    <xf numFmtId="0" fontId="11" fillId="17" borderId="86" xfId="0" applyFont="1" applyFill="1" applyBorder="1" applyAlignment="1">
      <alignment horizontal="left" vertical="top" wrapText="1"/>
    </xf>
    <xf numFmtId="0" fontId="45" fillId="0" borderId="78" xfId="0" applyFont="1" applyBorder="1" applyAlignment="1">
      <alignment horizontal="left" vertical="top" wrapText="1"/>
    </xf>
    <xf numFmtId="0" fontId="22" fillId="28" borderId="57" xfId="0" applyFont="1" applyFill="1" applyBorder="1" applyAlignment="1">
      <alignment horizontal="left" vertical="center"/>
    </xf>
    <xf numFmtId="0" fontId="22" fillId="28" borderId="0" xfId="0" applyFont="1" applyFill="1" applyAlignment="1">
      <alignment horizontal="left" vertical="center"/>
    </xf>
    <xf numFmtId="0" fontId="22" fillId="28" borderId="68" xfId="0" applyFont="1" applyFill="1" applyBorder="1" applyAlignment="1">
      <alignment horizontal="left" vertical="center"/>
    </xf>
    <xf numFmtId="0" fontId="22" fillId="12" borderId="57" xfId="0" applyFont="1" applyFill="1" applyBorder="1" applyAlignment="1">
      <alignment horizontal="left" vertical="center"/>
    </xf>
    <xf numFmtId="0" fontId="22" fillId="12" borderId="0" xfId="0" applyFont="1" applyFill="1" applyAlignment="1">
      <alignment horizontal="left" vertical="center"/>
    </xf>
    <xf numFmtId="0" fontId="22" fillId="12" borderId="68" xfId="0" applyFont="1" applyFill="1" applyBorder="1" applyAlignment="1">
      <alignment horizontal="left" vertical="center"/>
    </xf>
    <xf numFmtId="0" fontId="25" fillId="0" borderId="60" xfId="0" applyFont="1" applyBorder="1" applyAlignment="1">
      <alignment horizontal="left"/>
    </xf>
    <xf numFmtId="0" fontId="25" fillId="0" borderId="82" xfId="0" applyFont="1" applyBorder="1" applyAlignment="1">
      <alignment horizontal="left"/>
    </xf>
    <xf numFmtId="0" fontId="25" fillId="0" borderId="83" xfId="0" applyFont="1" applyBorder="1" applyAlignment="1">
      <alignment horizontal="left"/>
    </xf>
    <xf numFmtId="0" fontId="22" fillId="0" borderId="66"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65" xfId="0" applyFont="1" applyBorder="1" applyAlignment="1">
      <alignment horizontal="center" vertical="center" wrapText="1"/>
    </xf>
    <xf numFmtId="165" fontId="63" fillId="0" borderId="23" xfId="3" applyNumberFormat="1" applyFont="1" applyFill="1" applyBorder="1" applyAlignment="1">
      <alignment vertical="center" wrapText="1"/>
    </xf>
    <xf numFmtId="165" fontId="63" fillId="0" borderId="22" xfId="3" applyNumberFormat="1" applyFont="1" applyFill="1" applyBorder="1" applyAlignment="1">
      <alignment vertical="center" wrapText="1"/>
    </xf>
    <xf numFmtId="165" fontId="63" fillId="0" borderId="10" xfId="3" applyNumberFormat="1" applyFont="1" applyFill="1" applyBorder="1" applyAlignment="1">
      <alignment vertical="center" wrapText="1"/>
    </xf>
    <xf numFmtId="0" fontId="11" fillId="0" borderId="48" xfId="0" applyFont="1" applyBorder="1" applyAlignment="1">
      <alignment horizontal="left" wrapText="1"/>
    </xf>
    <xf numFmtId="0" fontId="11" fillId="0" borderId="61" xfId="0" applyFont="1" applyBorder="1" applyAlignment="1">
      <alignment horizontal="left" wrapText="1"/>
    </xf>
    <xf numFmtId="0" fontId="11" fillId="0" borderId="31" xfId="0" applyFont="1" applyBorder="1" applyAlignment="1">
      <alignment horizontal="left" wrapText="1"/>
    </xf>
    <xf numFmtId="0" fontId="11" fillId="0" borderId="49" xfId="0" applyFont="1" applyBorder="1" applyAlignment="1">
      <alignment horizontal="left" wrapText="1"/>
    </xf>
    <xf numFmtId="0" fontId="11" fillId="0" borderId="41" xfId="0" applyFont="1" applyBorder="1" applyAlignment="1">
      <alignment horizontal="left" wrapText="1"/>
    </xf>
    <xf numFmtId="0" fontId="11" fillId="0" borderId="37" xfId="0" applyFont="1" applyBorder="1" applyAlignment="1">
      <alignment horizontal="left" wrapText="1"/>
    </xf>
    <xf numFmtId="0" fontId="25" fillId="17" borderId="48" xfId="0" applyFont="1" applyFill="1" applyBorder="1" applyAlignment="1">
      <alignment horizontal="left"/>
    </xf>
    <xf numFmtId="0" fontId="25" fillId="17" borderId="61" xfId="0" applyFont="1" applyFill="1" applyBorder="1" applyAlignment="1">
      <alignment horizontal="left"/>
    </xf>
    <xf numFmtId="0" fontId="25" fillId="17" borderId="87" xfId="0" applyFont="1" applyFill="1" applyBorder="1" applyAlignment="1">
      <alignment horizontal="left"/>
    </xf>
    <xf numFmtId="0" fontId="25" fillId="17" borderId="88" xfId="0" applyFont="1" applyFill="1" applyBorder="1" applyAlignment="1">
      <alignment horizontal="left"/>
    </xf>
    <xf numFmtId="0" fontId="2" fillId="11" borderId="81" xfId="0" applyFont="1" applyFill="1" applyBorder="1" applyAlignment="1">
      <alignment horizontal="center" vertical="center" wrapText="1"/>
    </xf>
    <xf numFmtId="0" fontId="3" fillId="12" borderId="14" xfId="0" applyFont="1" applyFill="1" applyBorder="1" applyAlignment="1">
      <alignment vertical="center" wrapText="1"/>
    </xf>
    <xf numFmtId="0" fontId="3" fillId="12" borderId="34" xfId="0" applyFont="1" applyFill="1" applyBorder="1" applyAlignment="1">
      <alignment vertical="center" wrapText="1"/>
    </xf>
    <xf numFmtId="0" fontId="3" fillId="12" borderId="11" xfId="0" applyFont="1" applyFill="1" applyBorder="1" applyAlignment="1">
      <alignment vertical="center" wrapText="1"/>
    </xf>
    <xf numFmtId="0" fontId="3" fillId="12" borderId="34" xfId="0" applyFont="1" applyFill="1" applyBorder="1" applyAlignment="1">
      <alignment horizontal="left" vertical="center" wrapText="1"/>
    </xf>
    <xf numFmtId="0" fontId="3" fillId="12" borderId="11" xfId="0" applyFont="1" applyFill="1" applyBorder="1" applyAlignment="1">
      <alignment horizontal="left" vertical="center" wrapText="1"/>
    </xf>
    <xf numFmtId="0" fontId="11" fillId="0" borderId="0" xfId="0" applyFont="1" applyAlignment="1">
      <alignment horizontal="left" vertical="center" wrapText="1"/>
    </xf>
    <xf numFmtId="0" fontId="40" fillId="17" borderId="0" xfId="0" applyFont="1" applyFill="1" applyAlignment="1">
      <alignment horizontal="left" vertical="top" wrapText="1"/>
    </xf>
    <xf numFmtId="0" fontId="42" fillId="12" borderId="14" xfId="10" applyFill="1" applyBorder="1" applyAlignment="1">
      <alignment vertical="center" wrapText="1"/>
    </xf>
    <xf numFmtId="0" fontId="42" fillId="12" borderId="34" xfId="10" applyFill="1" applyBorder="1" applyAlignment="1">
      <alignment vertical="center" wrapText="1"/>
    </xf>
    <xf numFmtId="0" fontId="42" fillId="12" borderId="11" xfId="10" applyFill="1" applyBorder="1" applyAlignment="1">
      <alignment vertical="center" wrapText="1"/>
    </xf>
    <xf numFmtId="0" fontId="19" fillId="17" borderId="55" xfId="0" applyFont="1" applyFill="1" applyBorder="1" applyAlignment="1">
      <alignment horizontal="left" vertical="top" wrapText="1"/>
    </xf>
    <xf numFmtId="0" fontId="19" fillId="17" borderId="0" xfId="0" applyFont="1" applyFill="1" applyAlignment="1">
      <alignment horizontal="left" vertical="top" wrapText="1"/>
    </xf>
    <xf numFmtId="0" fontId="15" fillId="17" borderId="0" xfId="0" applyFont="1" applyFill="1" applyAlignment="1">
      <alignment horizontal="left" vertical="top" wrapText="1"/>
    </xf>
    <xf numFmtId="0" fontId="40" fillId="17" borderId="0" xfId="0" applyFont="1" applyFill="1" applyAlignment="1">
      <alignment horizontal="left" wrapText="1"/>
    </xf>
    <xf numFmtId="0" fontId="23" fillId="25" borderId="19" xfId="0" applyFont="1" applyFill="1" applyBorder="1" applyAlignment="1">
      <alignment horizontal="center"/>
    </xf>
    <xf numFmtId="0" fontId="23" fillId="25" borderId="30" xfId="0" applyFont="1" applyFill="1" applyBorder="1" applyAlignment="1">
      <alignment horizontal="center"/>
    </xf>
    <xf numFmtId="0" fontId="23" fillId="25" borderId="25" xfId="0" applyFont="1" applyFill="1" applyBorder="1" applyAlignment="1">
      <alignment horizontal="center"/>
    </xf>
    <xf numFmtId="0" fontId="14" fillId="38" borderId="19" xfId="0" applyFont="1" applyFill="1" applyBorder="1" applyAlignment="1">
      <alignment horizontal="center"/>
    </xf>
    <xf numFmtId="0" fontId="14" fillId="38" borderId="30" xfId="0" applyFont="1" applyFill="1" applyBorder="1" applyAlignment="1">
      <alignment horizontal="center"/>
    </xf>
    <xf numFmtId="0" fontId="14" fillId="38" borderId="25" xfId="0" applyFont="1" applyFill="1" applyBorder="1" applyAlignment="1">
      <alignment horizontal="center"/>
    </xf>
  </cellXfs>
  <cellStyles count="37">
    <cellStyle name="Calculation 2" xfId="12" xr:uid="{00000000-0005-0000-0000-000019000000}"/>
    <cellStyle name="Calculation 3" xfId="11" xr:uid="{00000000-0005-0000-0000-00001A000000}"/>
    <cellStyle name="Comma" xfId="3" builtinId="3"/>
    <cellStyle name="Comma 2" xfId="7" xr:uid="{00000000-0005-0000-0000-00001D000000}"/>
    <cellStyle name="Comma 2 2" xfId="14" xr:uid="{00000000-0005-0000-0000-00001E000000}"/>
    <cellStyle name="Comma 2 2 2" xfId="33" xr:uid="{00000000-0005-0000-0000-00001F000000}"/>
    <cellStyle name="Comma 2 3" xfId="26" xr:uid="{00000000-0005-0000-0000-000020000000}"/>
    <cellStyle name="Comma 2 3 2" xfId="34" xr:uid="{00000000-0005-0000-0000-000021000000}"/>
    <cellStyle name="Comma 2 4" xfId="27" xr:uid="{00000000-0005-0000-0000-000022000000}"/>
    <cellStyle name="Comma 2 4 2" xfId="35" xr:uid="{00000000-0005-0000-0000-000023000000}"/>
    <cellStyle name="Comma 2 5" xfId="30" xr:uid="{00000000-0005-0000-0000-000024000000}"/>
    <cellStyle name="Comma 2 6" xfId="36" xr:uid="{00000000-0005-0000-0000-000025000000}"/>
    <cellStyle name="Comma 3" xfId="13" xr:uid="{00000000-0005-0000-0000-000026000000}"/>
    <cellStyle name="Comma 3 2" xfId="32" xr:uid="{00000000-0005-0000-0000-000027000000}"/>
    <cellStyle name="Comma 3 4" xfId="9" xr:uid="{00000000-0005-0000-0000-000028000000}"/>
    <cellStyle name="Comma 3 4 2" xfId="31" xr:uid="{00000000-0005-0000-0000-000029000000}"/>
    <cellStyle name="Comma 4" xfId="28" xr:uid="{00000000-0005-0000-0000-00002A000000}"/>
    <cellStyle name="Currency 2" xfId="6" xr:uid="{00000000-0005-0000-0000-00002B000000}"/>
    <cellStyle name="Currency 2 2" xfId="29" xr:uid="{00000000-0005-0000-0000-00002C000000}"/>
    <cellStyle name="Explanatory Text 2" xfId="15" xr:uid="{00000000-0005-0000-0000-00002D000000}"/>
    <cellStyle name="Followed Hyperlink 2" xfId="16" xr:uid="{00000000-0005-0000-0000-00002E000000}"/>
    <cellStyle name="Hyperlink" xfId="10" builtinId="8"/>
    <cellStyle name="Hyperlink 2" xfId="5" xr:uid="{00000000-0005-0000-0000-000031000000}"/>
    <cellStyle name="Hyperlink 3" xfId="8" xr:uid="{00000000-0005-0000-0000-000032000000}"/>
    <cellStyle name="Input 2" xfId="17" xr:uid="{00000000-0005-0000-0000-000033000000}"/>
    <cellStyle name="Input data" xfId="18" xr:uid="{00000000-0005-0000-0000-000034000000}"/>
    <cellStyle name="Linked Cell 2" xfId="19" xr:uid="{00000000-0005-0000-0000-000035000000}"/>
    <cellStyle name="Normal" xfId="0" builtinId="0"/>
    <cellStyle name="Normal 2" xfId="2" xr:uid="{00000000-0005-0000-0000-000038000000}"/>
    <cellStyle name="Normal 2 2" xfId="4" xr:uid="{00000000-0005-0000-0000-000039000000}"/>
    <cellStyle name="Normal 2 2 2" xfId="20" xr:uid="{00000000-0005-0000-0000-00003A000000}"/>
    <cellStyle name="Note 2" xfId="21" xr:uid="{00000000-0005-0000-0000-00003B000000}"/>
    <cellStyle name="Output 2" xfId="22" xr:uid="{00000000-0005-0000-0000-00003C000000}"/>
    <cellStyle name="Percent" xfId="1" builtinId="5"/>
    <cellStyle name="Percent 2" xfId="23" xr:uid="{00000000-0005-0000-0000-00003E000000}"/>
    <cellStyle name="Selection" xfId="24" xr:uid="{00000000-0005-0000-0000-00003F000000}"/>
    <cellStyle name="Warning Text 2" xfId="25" xr:uid="{00000000-0005-0000-0000-000041000000}"/>
  </cellStyles>
  <dxfs count="61">
    <dxf>
      <fill>
        <patternFill patternType="darkUp">
          <bgColor theme="0" tint="-4.9989318521683403E-2"/>
        </patternFill>
      </fill>
    </dxf>
    <dxf>
      <fill>
        <patternFill>
          <bgColor rgb="FF27CCF9"/>
        </patternFill>
      </fill>
    </dxf>
    <dxf>
      <fill>
        <patternFill patternType="darkUp">
          <bgColor theme="0" tint="-4.9989318521683403E-2"/>
        </patternFill>
      </fill>
    </dxf>
    <dxf>
      <fill>
        <patternFill>
          <bgColor rgb="FF27CCF9"/>
        </patternFill>
      </fill>
    </dxf>
    <dxf>
      <fill>
        <patternFill>
          <bgColor rgb="FF92D050"/>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006100"/>
      </font>
      <fill>
        <patternFill patternType="solid">
          <fgColor indexed="64"/>
          <bgColor rgb="FFF2F2F2"/>
        </patternFill>
      </fill>
    </dxf>
    <dxf>
      <font>
        <color rgb="FFC00000"/>
      </font>
      <fill>
        <patternFill>
          <bgColor rgb="FFF2F2F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patternType="solid">
          <fgColor indexed="64"/>
          <bgColor rgb="FFF2F2F2"/>
        </patternFill>
      </fill>
    </dxf>
    <dxf>
      <font>
        <color rgb="FFC00000"/>
      </font>
      <fill>
        <patternFill>
          <bgColor rgb="FFF2F2F2"/>
        </patternFill>
      </fill>
    </dxf>
    <dxf>
      <font>
        <color rgb="FF9C0006"/>
      </font>
      <fill>
        <patternFill>
          <bgColor rgb="FFFFC7CE"/>
        </patternFill>
      </fill>
    </dxf>
    <dxf>
      <font>
        <color rgb="FF9C0006"/>
      </font>
      <fill>
        <patternFill>
          <bgColor rgb="FFFFC7CE"/>
        </patternFill>
      </fill>
    </dxf>
    <dxf>
      <font>
        <color rgb="FF006100"/>
      </font>
      <fill>
        <patternFill patternType="solid">
          <fgColor indexed="64"/>
          <bgColor rgb="FFF2F2F2"/>
        </patternFill>
      </fill>
    </dxf>
    <dxf>
      <font>
        <color rgb="FFC00000"/>
      </font>
      <fill>
        <patternFill>
          <bgColor rgb="FFF2F2F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border outline="0">
        <top style="medium">
          <color rgb="FFFFFFFF"/>
        </top>
      </border>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1"/>
        <color auto="1"/>
        <name val="Calibri"/>
        <scheme val="minor"/>
      </font>
      <fill>
        <patternFill patternType="solid">
          <fgColor indexed="64"/>
          <bgColor rgb="FF70DBFC"/>
        </patternFill>
      </fill>
      <alignment horizontal="general" vertical="center" textRotation="0" wrapText="1" indent="0" justifyLastLine="0" shrinkToFit="0" readingOrder="0"/>
    </dxf>
    <dxf>
      <border outline="0">
        <bottom style="medium">
          <color rgb="FFFFFFFF"/>
        </bottom>
      </border>
    </dxf>
    <dxf>
      <border outline="0">
        <top style="medium">
          <color rgb="FFFFFFFF"/>
        </top>
      </border>
    </dxf>
    <dxf>
      <border outline="0">
        <left style="medium">
          <color rgb="FFFFFFFF"/>
        </left>
        <right style="medium">
          <color rgb="FFFFFFFF"/>
        </right>
        <top style="medium">
          <color rgb="FFFFFFFF"/>
        </top>
        <bottom style="medium">
          <color rgb="FFFFFFFF"/>
        </bottom>
      </border>
    </dxf>
    <dxf>
      <font>
        <b val="0"/>
        <i val="0"/>
        <strike val="0"/>
        <condense val="0"/>
        <extend val="0"/>
        <outline val="0"/>
        <shadow val="0"/>
        <u val="none"/>
        <vertAlign val="baseline"/>
        <sz val="11"/>
        <color auto="1"/>
        <name val="Calibri"/>
        <scheme val="minor"/>
      </font>
      <fill>
        <patternFill patternType="solid">
          <fgColor indexed="64"/>
          <bgColor rgb="FF70DBFC"/>
        </patternFill>
      </fill>
      <alignment horizontal="general" vertical="center" textRotation="0" wrapText="1" indent="0" justifyLastLine="0" shrinkToFit="0" readingOrder="0"/>
    </dxf>
    <dxf>
      <border outline="0">
        <bottom style="medium">
          <color rgb="FFFFFFFF"/>
        </bottom>
      </border>
    </dxf>
    <dxf>
      <border outline="0">
        <left style="medium">
          <color rgb="FFFFFFFF"/>
        </left>
        <right style="medium">
          <color rgb="FFFFFFFF"/>
        </right>
        <bottom style="medium">
          <color theme="1" tint="0.34998626667073579"/>
        </bottom>
      </border>
    </dxf>
    <dxf>
      <font>
        <strike val="0"/>
        <outline val="0"/>
        <shadow val="0"/>
        <u val="none"/>
        <sz val="10"/>
      </font>
    </dxf>
    <dxf>
      <border outline="0">
        <left style="thin">
          <color theme="0"/>
        </left>
        <right style="medium">
          <color rgb="FFFFFFFF"/>
        </right>
        <bottom style="medium">
          <color rgb="FFFFFFFF"/>
        </bottom>
      </border>
    </dxf>
    <dxf>
      <font>
        <strike val="0"/>
        <outline val="0"/>
        <shadow val="0"/>
        <u val="none"/>
        <vertAlign val="baseline"/>
        <sz val="10"/>
        <color auto="1"/>
        <name val="Calibri"/>
        <scheme val="minor"/>
      </font>
    </dxf>
    <dxf>
      <border outline="0">
        <top style="medium">
          <color rgb="FFFFFFFF"/>
        </top>
      </border>
    </dxf>
    <dxf>
      <border outline="0">
        <left style="medium">
          <color rgb="FFFFFFFF"/>
        </left>
        <right style="medium">
          <color rgb="FFFFFFFF"/>
        </right>
        <top style="thin">
          <color theme="0"/>
        </top>
        <bottom style="medium">
          <color rgb="FFFFFFFF"/>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dxf>
    <dxf>
      <border outline="0">
        <bottom style="medium">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dxf>
    <dxf>
      <border outline="0">
        <top style="medium">
          <color rgb="FFFFFFFF"/>
        </top>
      </border>
    </dxf>
    <dxf>
      <border outline="0">
        <left style="medium">
          <color rgb="FFFFFFFF"/>
        </left>
        <right style="medium">
          <color rgb="FFFFFFFF"/>
        </right>
        <bottom style="medium">
          <color rgb="FFFFFFFF"/>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dxf>
    <dxf>
      <border outline="0">
        <bottom style="medium">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dxf>
    <dxf>
      <border outline="0">
        <top style="medium">
          <color rgb="FFFFFFFF"/>
        </top>
      </border>
    </dxf>
    <dxf>
      <border outline="0">
        <left style="medium">
          <color rgb="FFFFFFFF"/>
        </left>
        <right style="medium">
          <color rgb="FFFFFFFF"/>
        </right>
        <bottom style="medium">
          <color rgb="FFFFFFFF"/>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dxf>
    <dxf>
      <border outline="0">
        <bottom style="medium">
          <color rgb="FFFFFFFF"/>
        </bottom>
      </border>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dxf>
    <dxf>
      <border outline="0">
        <left style="medium">
          <color theme="0"/>
        </left>
        <right style="medium">
          <color rgb="FFFFFFFF"/>
        </right>
        <bottom style="thin">
          <color theme="0"/>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protection locked="1" hidden="0"/>
    </dxf>
    <dxf>
      <border outline="0">
        <left style="medium">
          <color theme="0"/>
        </left>
        <right style="medium">
          <color rgb="FFFFFFFF"/>
        </right>
        <bottom style="thin">
          <color theme="0"/>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protection locked="1" hidden="0"/>
    </dxf>
    <dxf>
      <border outline="0">
        <left style="medium">
          <color theme="0"/>
        </left>
        <right style="medium">
          <color rgb="FFFFFFFF"/>
        </right>
        <bottom style="thin">
          <color theme="0"/>
        </bottom>
      </border>
    </dxf>
    <dxf>
      <font>
        <b val="0"/>
        <i val="0"/>
        <strike val="0"/>
        <condense val="0"/>
        <extend val="0"/>
        <outline val="0"/>
        <shadow val="0"/>
        <u val="none"/>
        <vertAlign val="baseline"/>
        <sz val="10"/>
        <color auto="1"/>
        <name val="Calibri"/>
        <scheme val="minor"/>
      </font>
      <fill>
        <patternFill patternType="solid">
          <fgColor indexed="64"/>
          <bgColor theme="0" tint="-0.34998626667073579"/>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0"/>
        <color rgb="FFFFFFFF"/>
        <name val="Calibri"/>
        <scheme val="minor"/>
      </font>
      <fill>
        <patternFill patternType="solid">
          <fgColor indexed="64"/>
          <bgColor rgb="FF0599C7"/>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uildingsTable" displayName="BuildingsTable" ref="B7:P37" totalsRowShown="0" headerRowDxfId="60" dataDxfId="59" tableBorderDxfId="58">
  <autoFilter ref="B7:P37" xr:uid="{00000000-0009-0000-0100-000001000000}"/>
  <tableColumns count="15">
    <tableColumn id="1" xr3:uid="{00000000-0010-0000-0000-000001000000}" name="Ownership structure"/>
    <tableColumn id="2" xr3:uid="{00000000-0010-0000-0000-000002000000}" name="Fuel/emission source"/>
    <tableColumn id="3" xr3:uid="{00000000-0010-0000-0000-000003000000}" name="Category 1"/>
    <tableColumn id="6" xr3:uid="{00000000-0010-0000-0000-000006000000}" name="Data"/>
    <tableColumn id="7" xr3:uid="{00000000-0010-0000-0000-000007000000}" name="Units"/>
    <tableColumn id="8" xr3:uid="{00000000-0010-0000-0000-000008000000}" name="Converted data">
      <calculatedColumnFormula array="1">IF(OR($C8="",$B8="",$E8="",$F8=""),"",IF(F8=H8,E8,(INDEX('Ffactorau Allyriadau'!$K$3:$V$201,MATCH(C8&amp;D8,'Ffactorau Allyriadau'!$J$3:$J$201&amp;'Ffactorau Allyriadau'!$K$3:$K$201,0),MATCH(G$7,'Ffactorau Allyriadau'!$K$2:$V$2,0)))*E8))</calculatedColumnFormula>
    </tableColumn>
    <tableColumn id="9" xr3:uid="{00000000-0010-0000-0000-000009000000}" name="Standard units">
      <calculatedColumnFormula>IF(OR($C8="",$B8="",$E8="",$F8=""),"",INDEX('Ffactorau Allyriadau'!$K$3:$V$201,MATCH('Adeiladau, Fflyd ac Offer '!$C8,'Ffactorau Allyriadau'!$J$3:$J$201,0),MATCH($H$7,'Ffactorau Allyriadau'!$K$2:$V$2,0)))</calculatedColumnFormula>
    </tableColumn>
    <tableColumn id="10" xr3:uid="{00000000-0010-0000-0000-00000A000000}" name="Total EF (kgCO2e/unit)">
      <calculatedColumnFormula array="1">IF(OR(C8="",E8="",BuildingsTable[[#This Row],[Units]]=""),"",INDEX('Ffactorau Allyriadau'!$K$3:$V$201,MATCH('Adeiladau, Fflyd ac Offer '!$C8&amp;D8,'Ffactorau Allyriadau'!$J$3:$J$201&amp;'Ffactorau Allyriadau'!$K$3:$K$201,0),MATCH('Adeiladau, Fflyd ac Offer '!$I$7,'Ffactorau Allyriadau'!$K$2:$V$2,0)))</calculatedColumnFormula>
    </tableColumn>
    <tableColumn id="11" xr3:uid="{00000000-0010-0000-0000-00000B000000}" name="Total emissions (kgCO2e)">
      <calculatedColumnFormula>IF(OR(G8="",I8=""),"",SUM(BuildingsTable[[#This Row],[Direct]:[Indirect WTT]]))</calculatedColumnFormula>
    </tableColumn>
    <tableColumn id="12" xr3:uid="{00000000-0010-0000-0000-00000C000000}" name="Notes"/>
    <tableColumn id="14" xr3:uid="{00000000-0010-0000-0000-00000E000000}" name="Direct">
      <calculatedColumnFormula array="1">IF(OR($C8="",$E8=""),"",(INDEX('Ffactorau Allyriadau'!$K$3:$V$201,MATCH('Adeiladau, Fflyd ac Offer '!$C8&amp;$D8,'Ffactorau Allyriadau'!$J$3:$J$201&amp;'Ffactorau Allyriadau'!$K$3:$K$201,0),MATCH('Adeiladau, Fflyd ac Offer '!L$7,'Ffactorau Allyriadau'!$K$2:$V$2,0)))*$G8)</calculatedColumnFormula>
    </tableColumn>
    <tableColumn id="15" xr3:uid="{00000000-0010-0000-0000-00000F000000}" name="Indirect generation">
      <calculatedColumnFormula array="1">IF(OR($C8="",$E8=""),"",(INDEX('Ffactorau Allyriadau'!$K$3:$V$201,MATCH('Adeiladau, Fflyd ac Offer '!$C8&amp;$D8,'Ffactorau Allyriadau'!$J$3:$J$201&amp;'Ffactorau Allyriadau'!$K$3:$K$201,0),MATCH('Adeiladau, Fflyd ac Offer '!M$7,'Ffactorau Allyriadau'!$K$2:$V$2,0)))*$G8)</calculatedColumnFormula>
    </tableColumn>
    <tableColumn id="16" xr3:uid="{00000000-0010-0000-0000-000010000000}" name="Indirect service">
      <calculatedColumnFormula array="1">IF(OR($C8="",$E8=""),"",(INDEX('Ffactorau Allyriadau'!$K$3:$V$201,MATCH('Adeiladau, Fflyd ac Offer '!$C8&amp;$D8,'Ffactorau Allyriadau'!$J$3:$J$201&amp;'Ffactorau Allyriadau'!$K$3:$K$201,0),MATCH('Adeiladau, Fflyd ac Offer '!N$7,'Ffactorau Allyriadau'!$K$2:$V$2,0)))*$G8)</calculatedColumnFormula>
    </tableColumn>
    <tableColumn id="17" xr3:uid="{00000000-0010-0000-0000-000011000000}" name="Indirect T&amp;D">
      <calculatedColumnFormula array="1">IF(OR($C8="",$E8=""),"",(INDEX('Ffactorau Allyriadau'!$K$3:$V$201,MATCH('Adeiladau, Fflyd ac Offer '!$C8&amp;$D8,'Ffactorau Allyriadau'!$J$3:$J$201&amp;'Ffactorau Allyriadau'!$K$3:$K$201,0),MATCH('Adeiladau, Fflyd ac Offer '!O$7,'Ffactorau Allyriadau'!$K$2:$V$2,0)))*$G8)</calculatedColumnFormula>
    </tableColumn>
    <tableColumn id="18" xr3:uid="{00000000-0010-0000-0000-000012000000}" name="Indirect WTT">
      <calculatedColumnFormula array="1">IF(OR($C8="",$E8=""),"",(INDEX('Ffactorau Allyriadau'!$K$3:$V$201,MATCH('Adeiladau, Fflyd ac Offer '!$C8&amp;$D8,'Ffactorau Allyriadau'!$J$3:$J$201&amp;'Ffactorau Allyriadau'!$K$3:$K$201,0),MATCH('Adeiladau, Fflyd ac Offer '!P$7,'Ffactorau Allyriadau'!$K$2:$V$2,0)))*$G8)</calculatedColumnFormula>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PurchasedRenewablesTable" displayName="PurchasedRenewablesTable" ref="B24:G38" totalsRowShown="0" dataDxfId="27" headerRowBorderDxfId="28" tableBorderDxfId="26" totalsRowBorderDxfId="25">
  <autoFilter ref="B24:G38" xr:uid="{00000000-0009-0000-0100-00000D000000}"/>
  <tableColumns count="6">
    <tableColumn id="1" xr3:uid="{00000000-0010-0000-0900-000001000000}" name="Renewable Type"/>
    <tableColumn id="2" xr3:uid="{00000000-0010-0000-0900-000002000000}" name="Agreement"/>
    <tableColumn id="5" xr3:uid="{00000000-0010-0000-0900-000005000000}" name="Total kWh purchased"/>
    <tableColumn id="6" xr3:uid="{00000000-0010-0000-0900-000006000000}" name="Not used"/>
    <tableColumn id="7" xr3:uid="{00000000-0010-0000-0900-000007000000}" name="Not used2">
      <calculatedColumnFormula>IF(OR(PurchasedRenewablesTable[[#This Row],[Total kWh purchased]]="",PurchasedRenewablesTable[[#This Row],[Not used]]=""),"",PurchasedRenewablesTable[[#This Row],[Total kWh purchased]]*PurchasedRenewablesTable[[#This Row],[Not used]])</calculatedColumnFormula>
    </tableColumn>
    <tableColumn id="8" xr3:uid="{00000000-0010-0000-0900-000008000000}"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FleetTableFuel" displayName="FleetTableFuel" ref="B41:P52" totalsRowShown="0" headerRowDxfId="57" dataDxfId="56" tableBorderDxfId="55">
  <autoFilter ref="B41:P52" xr:uid="{00000000-0009-0000-0100-000003000000}"/>
  <tableColumns count="15">
    <tableColumn id="1" xr3:uid="{00000000-0010-0000-0100-000001000000}" name="Type"/>
    <tableColumn id="2" xr3:uid="{00000000-0010-0000-0100-000002000000}" name="Fuel"/>
    <tableColumn id="3" xr3:uid="{00000000-0010-0000-0100-000003000000}" name="Category 1"/>
    <tableColumn id="6" xr3:uid="{00000000-0010-0000-0100-000006000000}" name="Data"/>
    <tableColumn id="7" xr3:uid="{00000000-0010-0000-0100-000007000000}" name="Units"/>
    <tableColumn id="8" xr3:uid="{00000000-0010-0000-0100-000008000000}" name="Converted data">
      <calculatedColumnFormula array="1">IF(OR($C42="",$B42="",$E42="",$F42=""),"",IF(F42=H42,E42,(INDEX('Ffactorau Allyriadau'!$K$3:$V$201,MATCH(C42&amp;D42,'Ffactorau Allyriadau'!$J$3:$J$201&amp;'Ffactorau Allyriadau'!$K$3:$K$201,0),MATCH(G$41,'Ffactorau Allyriadau'!$K$2:$V$2,0)))*E42))</calculatedColumnFormula>
    </tableColumn>
    <tableColumn id="9" xr3:uid="{00000000-0010-0000-0100-000009000000}" name="Standard units">
      <calculatedColumnFormula>IF(OR($C42="",$B42="",$E42="",$F42=""),"",INDEX('Ffactorau Allyriadau'!$K$3:$V$201,MATCH('Adeiladau, Fflyd ac Offer '!$C42,'Ffactorau Allyriadau'!$J$3:$J$201,0),MATCH($H$41,'Ffactorau Allyriadau'!$K$2:$V$2,0)))</calculatedColumnFormula>
    </tableColumn>
    <tableColumn id="10" xr3:uid="{00000000-0010-0000-0100-00000A000000}" name="Total EF (kgCO2e/unit)">
      <calculatedColumnFormula array="1">IF(OR(C42="",E42="",FleetTableFuel[[#This Row],[Units]]=""),"",INDEX('Ffactorau Allyriadau'!$K$3:$V$201,MATCH('Adeiladau, Fflyd ac Offer '!$C42&amp;D42,'Ffactorau Allyriadau'!$J$3:$J$201&amp;'Ffactorau Allyriadau'!$K$3:$K$201,0),MATCH('Adeiladau, Fflyd ac Offer '!$I$41,'Ffactorau Allyriadau'!$K$2:$V$2,0)))</calculatedColumnFormula>
    </tableColumn>
    <tableColumn id="11" xr3:uid="{00000000-0010-0000-0100-00000B000000}" name="Total emissions (kgCO2e)">
      <calculatedColumnFormula>IF(OR(G42="",I42=""),"",SUM(FleetTableFuel[[#This Row],[Direct]:[Indirect WTT]]))</calculatedColumnFormula>
    </tableColumn>
    <tableColumn id="12" xr3:uid="{00000000-0010-0000-0100-00000C000000}" name="Notes"/>
    <tableColumn id="14" xr3:uid="{00000000-0010-0000-0100-00000E000000}" name="Direct">
      <calculatedColumnFormula array="1">IF(OR($C42="",$E42=""),"",(INDEX('Ffactorau Allyriadau'!$K$3:$V$201,MATCH('Adeiladau, Fflyd ac Offer '!$C42&amp;$D42,'Ffactorau Allyriadau'!$J$3:$J$201&amp;'Ffactorau Allyriadau'!$K$3:$K$201,0),MATCH('Adeiladau, Fflyd ac Offer '!L$7,'Ffactorau Allyriadau'!$K$2:$V$2,0)))*$G42)</calculatedColumnFormula>
    </tableColumn>
    <tableColumn id="15" xr3:uid="{00000000-0010-0000-0100-00000F000000}" name="Indirect generation">
      <calculatedColumnFormula array="1">IF(OR($C42="",$E42=""),"",(INDEX('Ffactorau Allyriadau'!$K$3:$V$201,MATCH('Adeiladau, Fflyd ac Offer '!$C42&amp;$D42,'Ffactorau Allyriadau'!$J$3:$J$201&amp;'Ffactorau Allyriadau'!$K$3:$K$201,0),MATCH('Adeiladau, Fflyd ac Offer '!M$7,'Ffactorau Allyriadau'!$K$2:$V$2,0)))*$G42)</calculatedColumnFormula>
    </tableColumn>
    <tableColumn id="16" xr3:uid="{00000000-0010-0000-0100-000010000000}" name="Indirect service">
      <calculatedColumnFormula array="1">IF(OR($C42="",$E42=""),"",(INDEX('Ffactorau Allyriadau'!$K$3:$V$201,MATCH('Adeiladau, Fflyd ac Offer '!$C42&amp;$D42,'Ffactorau Allyriadau'!$J$3:$J$201&amp;'Ffactorau Allyriadau'!$K$3:$K$201,0),MATCH('Adeiladau, Fflyd ac Offer '!N$7,'Ffactorau Allyriadau'!$K$2:$V$2,0)))*$G42)</calculatedColumnFormula>
    </tableColumn>
    <tableColumn id="17" xr3:uid="{00000000-0010-0000-0100-000011000000}" name="Indirect T&amp;D">
      <calculatedColumnFormula array="1">IF(OR($C42="",$E42=""),"",(INDEX('Ffactorau Allyriadau'!$K$3:$V$201,MATCH('Adeiladau, Fflyd ac Offer '!$C42&amp;$D42,'Ffactorau Allyriadau'!$J$3:$J$201&amp;'Ffactorau Allyriadau'!$K$3:$K$201,0),MATCH('Adeiladau, Fflyd ac Offer '!O$7,'Ffactorau Allyriadau'!$K$2:$V$2,0)))*$G42)</calculatedColumnFormula>
    </tableColumn>
    <tableColumn id="18" xr3:uid="{00000000-0010-0000-0100-000012000000}" name="Indirect WTT">
      <calculatedColumnFormula array="1">IF(OR($C42="",$E42=""),"",(INDEX('Ffactorau Allyriadau'!$K$3:$V$201,MATCH('Adeiladau, Fflyd ac Offer '!$C42&amp;$D42,'Ffactorau Allyriadau'!$J$3:$J$201&amp;'Ffactorau Allyriadau'!$K$3:$K$201,0),MATCH('Adeiladau, Fflyd ac Offer '!P$7,'Ffactorau Allyriadau'!$K$2:$V$2,0)))*$G42)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FleetTableDistance" displayName="FleetTableDistance" ref="B55:P66" totalsRowShown="0" headerRowDxfId="54" dataDxfId="53" tableBorderDxfId="52">
  <autoFilter ref="B55:P66" xr:uid="{00000000-0009-0000-0100-000011000000}"/>
  <tableColumns count="15">
    <tableColumn id="1" xr3:uid="{00000000-0010-0000-0200-000001000000}" name="Type"/>
    <tableColumn id="2" xr3:uid="{00000000-0010-0000-0200-000002000000}" name="Fuel"/>
    <tableColumn id="3" xr3:uid="{00000000-0010-0000-0200-000003000000}" name="Size"/>
    <tableColumn id="6" xr3:uid="{00000000-0010-0000-0200-000006000000}" name="Data"/>
    <tableColumn id="7" xr3:uid="{00000000-0010-0000-0200-000007000000}" name="Units"/>
    <tableColumn id="8" xr3:uid="{00000000-0010-0000-0200-000008000000}" name="Converted data">
      <calculatedColumnFormula array="1">IF(OR($C56="",$B56="",$E56="",$F56=""),"",IF(F56=H56,E56,(INDEX('Ffactorau Allyriadau'!$K$3:$V$201,MATCH(B56&amp;D56,'Ffactorau Allyriadau'!$J$3:$J$201&amp;'Ffactorau Allyriadau'!$K$3:$K$201,0),MATCH(G$41,'Ffactorau Allyriadau'!$K$2:$V$2,0)))*E56))</calculatedColumnFormula>
    </tableColumn>
    <tableColumn id="9" xr3:uid="{00000000-0010-0000-0200-000009000000}" name="Standard units">
      <calculatedColumnFormula>IF(OR($C56="",$B56="",$E56="",$F56=""),"",INDEX('Ffactorau Allyriadau'!$K$3:$V$212,MATCH('Adeiladau, Fflyd ac Offer '!$B56,'Ffactorau Allyriadau'!$J$3:$J$212,0),MATCH($H$55,'Ffactorau Allyriadau'!$K$2:$V$2,0)))</calculatedColumnFormula>
    </tableColumn>
    <tableColumn id="10" xr3:uid="{00000000-0010-0000-0200-00000A000000}" name="Total EF (kgCO2e/unit)">
      <calculatedColumnFormula array="1">IF(OR(FleetTableDistance[[#This Row],[Type]]="",C56="",E56=""),"",INDEX('Ffactorau Allyriadau'!$K$3:$V$212,MATCH('Adeiladau, Fflyd ac Offer '!$B56&amp;C56&amp;FleetTableDistance[[#This Row],[Size]],'Ffactorau Allyriadau'!$J$3:$J$212&amp;'Ffactorau Allyriadau'!$L$3:$L$212&amp;'Ffactorau Allyriadau'!$K$3:$K$212,0),MATCH('Adeiladau, Fflyd ac Offer '!$I$41,'Ffactorau Allyriadau'!$K$2:$V$2,0)))</calculatedColumnFormula>
    </tableColumn>
    <tableColumn id="11" xr3:uid="{00000000-0010-0000-0200-00000B000000}" name="Total emissions (kgCO2e)">
      <calculatedColumnFormula>IF(OR(G56="",I56=""),"",SUM(FleetTableDistance[[#This Row],[Direct]:[Indirect WTT]]))</calculatedColumnFormula>
    </tableColumn>
    <tableColumn id="12" xr3:uid="{00000000-0010-0000-0200-00000C000000}" name="Notes"/>
    <tableColumn id="14" xr3:uid="{00000000-0010-0000-0200-00000E000000}" name="Direct">
      <calculatedColumnFormula array="1">IF(OR($C56="",$E56=""),"",(INDEX('Ffactorau Allyriadau'!$K$3:$V$379,MATCH(FleetTableDistance[[#This Row],[Type]]&amp;$C56&amp;$D56,'Ffactorau Allyriadau'!$J$3:$J$379&amp;'Ffactorau Allyriadau'!$L$3:$L$379&amp;'Ffactorau Allyriadau'!$K$3:$K$379,0),MATCH('Adeiladau, Fflyd ac Offer '!L$7,'Ffactorau Allyriadau'!$K$2:$V$2,0)))*$G56)</calculatedColumnFormula>
    </tableColumn>
    <tableColumn id="15" xr3:uid="{00000000-0010-0000-0200-00000F000000}" name="Indirect generation">
      <calculatedColumnFormula array="1">IF(OR($C56="",$E56=""),"",(INDEX('Ffactorau Allyriadau'!$K$3:$V$212,MATCH(FleetTableDistance[[#This Row],[Type]]&amp;$C56&amp;$D56,'Ffactorau Allyriadau'!$J$3:$J$212&amp;'Ffactorau Allyriadau'!$L$3:$L$212&amp;'Ffactorau Allyriadau'!$K$3:$K$212,0),MATCH('Adeiladau, Fflyd ac Offer '!M$7,'Ffactorau Allyriadau'!$K$2:$V$2,0)))*$G56)</calculatedColumnFormula>
    </tableColumn>
    <tableColumn id="16" xr3:uid="{00000000-0010-0000-0200-000010000000}" name="Indirect service">
      <calculatedColumnFormula array="1">IF(OR($C56="",$E56=""),"",(INDEX('Ffactorau Allyriadau'!$K$3:$V$212,MATCH(FleetTableDistance[[#This Row],[Type]]&amp;$C56&amp;$D56,'Ffactorau Allyriadau'!$J$3:$J$212&amp;'Ffactorau Allyriadau'!$L$3:$L$212&amp;'Ffactorau Allyriadau'!$K$3:$K$212,0),MATCH('Adeiladau, Fflyd ac Offer '!N$7,'Ffactorau Allyriadau'!$K$2:$V$2,0)))*$G56)</calculatedColumnFormula>
    </tableColumn>
    <tableColumn id="17" xr3:uid="{00000000-0010-0000-0200-000011000000}" name="Indirect T&amp;D">
      <calculatedColumnFormula array="1">IF(OR($C56="",$E56=""),"",(INDEX('Ffactorau Allyriadau'!$K$3:$V$212,MATCH(FleetTableDistance[[#This Row],[Type]]&amp;$C56&amp;$D56,'Ffactorau Allyriadau'!$J$3:$J$212&amp;'Ffactorau Allyriadau'!$L$3:$L$212&amp;'Ffactorau Allyriadau'!$K$3:$K$212,0),MATCH('Adeiladau, Fflyd ac Offer '!O$7,'Ffactorau Allyriadau'!$K$2:$V$2,0)))*$G56)</calculatedColumnFormula>
    </tableColumn>
    <tableColumn id="18" xr3:uid="{00000000-0010-0000-0200-000012000000}" name="Indirect WTT">
      <calculatedColumnFormula array="1">IF(OR($C56="",$E56=""),"",(INDEX('Ffactorau Allyriadau'!$K$3:$V$212,MATCH(FleetTableDistance[[#This Row],[Type]]&amp;$C56&amp;$D56,'Ffactorau Allyriadau'!$J$3:$J$212&amp;'Ffactorau Allyriadau'!$L$3:$L$212&amp;'Ffactorau Allyriadau'!$K$3:$K$212,0),MATCH('Adeiladau, Fflyd ac Offer '!P$7,'Ffactorau Allyriadau'!$K$2:$V$2,0)))*$G56)</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BusinessTable" displayName="BusinessTable" ref="B7:P27" totalsRowShown="0" headerRowDxfId="51" dataDxfId="49" headerRowBorderDxfId="50" tableBorderDxfId="48" totalsRowBorderDxfId="47">
  <autoFilter ref="B7:P27" xr:uid="{00000000-0009-0000-0100-000004000000}"/>
  <tableColumns count="15">
    <tableColumn id="1" xr3:uid="{00000000-0010-0000-0300-000001000000}" name="Emission source"/>
    <tableColumn id="2" xr3:uid="{00000000-0010-0000-0300-000002000000}" name="Category 1"/>
    <tableColumn id="3" xr3:uid="{00000000-0010-0000-0300-000003000000}" name="Category 2"/>
    <tableColumn id="6" xr3:uid="{00000000-0010-0000-0300-000006000000}" name="Data"/>
    <tableColumn id="7" xr3:uid="{00000000-0010-0000-0300-000007000000}" name="Units"/>
    <tableColumn id="8" xr3:uid="{00000000-0010-0000-0300-000008000000}" name="Converted data">
      <calculatedColumnFormula array="1">IF(OR($B8="",$C8="",$D8="",F8=""),"",IF(F8=H8,E8,(INDEX('Ffactorau Allyriadau'!$K$3:$V$276,MATCH($B8&amp;$C8&amp;$D8,'Ffactorau Allyriadau'!$J$3:$J$276&amp;'Ffactorau Allyriadau'!$K$3:$K$276&amp;'Ffactorau Allyriadau'!$L$3:$L$276,0),MATCH('Teithio i’r Ysgol a Theithiau S'!G$7,'Ffactorau Allyriadau'!$K$2:$V$2,0)))*E8))</calculatedColumnFormula>
    </tableColumn>
    <tableColumn id="9" xr3:uid="{00000000-0010-0000-0300-000009000000}" name="Standard units">
      <calculatedColumnFormula array="1">IF(OR($B8="",$C8="",$E8=""),"",INDEX('Ffactorau Allyriadau'!$K$3:$V$276,MATCH($B8&amp;$C8&amp;$D8,'Ffactorau Allyriadau'!$J$3:$J$276&amp;'Ffactorau Allyriadau'!$K$3:$K$276&amp;'Ffactorau Allyriadau'!$L$3:$L$276,0),MATCH('Teithio i’r Ysgol a Theithiau S'!H$7,'Ffactorau Allyriadau'!$K$2:$V$2,0)))</calculatedColumnFormula>
    </tableColumn>
    <tableColumn id="10" xr3:uid="{00000000-0010-0000-0300-00000A000000}" name="Total EF (kgCO2e/unit)">
      <calculatedColumnFormula array="1">IF(OR(B8="",C8="",D8=""),"",INDEX('Ffactorau Allyriadau'!$K$3:$V$276,MATCH($B8&amp;$C8&amp;$D8,'Ffactorau Allyriadau'!$J$3:$J$276&amp;'Ffactorau Allyriadau'!$K$3:$K$276&amp;'Ffactorau Allyriadau'!$L$3:$L$276,0),MATCH('Teithio i’r Ysgol a Theithiau S'!I$7,'Ffactorau Allyriadau'!$K$2:$V$2,0)))</calculatedColumnFormula>
    </tableColumn>
    <tableColumn id="11" xr3:uid="{00000000-0010-0000-0300-00000B000000}" name="Total emissions">
      <calculatedColumnFormula>IF(OR(G8="",I8=""),"",SUM(BusinessTable[[#This Row],[Direct]:[Indirect WTT]]))</calculatedColumnFormula>
    </tableColumn>
    <tableColumn id="12" xr3:uid="{00000000-0010-0000-0300-00000C000000}" name="Notes"/>
    <tableColumn id="14" xr3:uid="{00000000-0010-0000-0300-00000E000000}" name="Direct">
      <calculatedColumnFormula array="1">IF(OR($C8="",$E8=""),"",(INDEX('Ffactorau Allyriadau'!$K$3:$V$201,MATCH($B8&amp;$C8&amp;$D8,'Ffactorau Allyriadau'!$J$3:$J$201&amp;'Ffactorau Allyriadau'!$K$3:$K$201&amp;'Ffactorau Allyriadau'!$L$3:$L$201,0),MATCH(L$7,'Ffactorau Allyriadau'!$K$2:$V$2,0)))*$G8)</calculatedColumnFormula>
    </tableColumn>
    <tableColumn id="15" xr3:uid="{00000000-0010-0000-0300-00000F000000}" name="Indirect generation">
      <calculatedColumnFormula array="1">IF(OR($C8="",$E8=""),"",(INDEX('Ffactorau Allyriadau'!$K$3:$V$201,MATCH($B8&amp;$C8&amp;$D8,'Ffactorau Allyriadau'!$J$3:$J$201&amp;'Ffactorau Allyriadau'!$K$3:$K$201&amp;'Ffactorau Allyriadau'!$L$3:$L$201,0),MATCH(M$7,'Ffactorau Allyriadau'!$K$2:$V$2,0)))*$G8)</calculatedColumnFormula>
    </tableColumn>
    <tableColumn id="16" xr3:uid="{00000000-0010-0000-0300-000010000000}" name="Indirect service">
      <calculatedColumnFormula array="1">IF(OR($C8="",$E8=""),"",(INDEX('Ffactorau Allyriadau'!$K$3:$V$201,MATCH($B8&amp;$C8&amp;$D8,'Ffactorau Allyriadau'!$J$3:$J$201&amp;'Ffactorau Allyriadau'!$K$3:$K$201&amp;'Ffactorau Allyriadau'!$L$3:$L$201,0),MATCH(N$7,'Ffactorau Allyriadau'!$K$2:$V$2,0)))*$G8)</calculatedColumnFormula>
    </tableColumn>
    <tableColumn id="17" xr3:uid="{00000000-0010-0000-0300-000011000000}" name="Indirect T&amp;D">
      <calculatedColumnFormula array="1">IF(OR($C8="",$E8=""),"",(INDEX('Ffactorau Allyriadau'!$K$3:$V$201,MATCH($B8&amp;$C8&amp;$D8,'Ffactorau Allyriadau'!$J$3:$J$201&amp;'Ffactorau Allyriadau'!$K$3:$K$201&amp;'Ffactorau Allyriadau'!$L$3:$L$201,0),MATCH(O$7,'Ffactorau Allyriadau'!$K$2:$V$2,0)))*$G8)</calculatedColumnFormula>
    </tableColumn>
    <tableColumn id="18" xr3:uid="{00000000-0010-0000-0300-000012000000}" name="Indirect WTT">
      <calculatedColumnFormula array="1">IF(OR($C8="",$E8=""),"",(INDEX('Ffactorau Allyriadau'!$K$3:$V$201,MATCH($B8&amp;$C8&amp;$D8,'Ffactorau Allyriadau'!$J$3:$J$201&amp;'Ffactorau Allyriadau'!$K$3:$K$201&amp;'Ffactorau Allyriadau'!$L$3:$L$201,0),MATCH(P$7,'Ffactorau Allyriadau'!$K$2:$V$2,0)))*$G8)</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ommutingTable" displayName="CommutingTable" ref="B30:P49" totalsRowShown="0" headerRowDxfId="46" dataDxfId="44" headerRowBorderDxfId="45" tableBorderDxfId="43" totalsRowBorderDxfId="42">
  <autoFilter ref="B30:P49" xr:uid="{00000000-0009-0000-0100-000005000000}"/>
  <tableColumns count="15">
    <tableColumn id="1" xr3:uid="{00000000-0010-0000-0400-000001000000}" name="Emission source"/>
    <tableColumn id="2" xr3:uid="{00000000-0010-0000-0400-000002000000}" name="Category 1"/>
    <tableColumn id="3" xr3:uid="{00000000-0010-0000-0400-000003000000}" name="Category 2"/>
    <tableColumn id="6" xr3:uid="{00000000-0010-0000-0400-000006000000}" name="Data"/>
    <tableColumn id="7" xr3:uid="{00000000-0010-0000-0400-000007000000}" name="Units"/>
    <tableColumn id="8" xr3:uid="{00000000-0010-0000-0400-000008000000}" name="Converted data">
      <calculatedColumnFormula array="1">IF(OR($B31="",$C31="",$D31="",F31=""),"",IF(F31=H31,E31,(INDEX('Ffactorau Allyriadau'!$K$3:$V$276,MATCH($B31&amp;$C31&amp;$D31,'Ffactorau Allyriadau'!$J$3:$J$276&amp;'Ffactorau Allyriadau'!$K$3:$K$276&amp;'Ffactorau Allyriadau'!$L$3:$L$276,0),MATCH('Teithio i’r Ysgol a Theithiau S'!G$7,'Ffactorau Allyriadau'!$K$2:$V$2,0)))*E31))</calculatedColumnFormula>
    </tableColumn>
    <tableColumn id="9" xr3:uid="{00000000-0010-0000-0400-000009000000}" name="Standard units">
      <calculatedColumnFormula array="1">IF(OR($B31="",$C31="",$E31=""),"",INDEX('Ffactorau Allyriadau'!$K$3:$V$276,MATCH($B31&amp;$C31&amp;$D31,'Ffactorau Allyriadau'!$J$3:$J$276&amp;'Ffactorau Allyriadau'!$K$3:$K$276&amp;'Ffactorau Allyriadau'!$L$3:$L$276,0),MATCH('Teithio i’r Ysgol a Theithiau S'!H$7,'Ffactorau Allyriadau'!$K$2:$V$2,0)))</calculatedColumnFormula>
    </tableColumn>
    <tableColumn id="10" xr3:uid="{00000000-0010-0000-0400-00000A000000}" name="Total EF (kgCO2e/unit)">
      <calculatedColumnFormula array="1">IF(OR(B31="",C31="",D31=""),"",INDEX('Ffactorau Allyriadau'!$K$3:$V$276,MATCH($B31&amp;$C31&amp;$D31,'Ffactorau Allyriadau'!$J$3:$J$276&amp;'Ffactorau Allyriadau'!$K$3:$K$276&amp;'Ffactorau Allyriadau'!$L$3:$L$276,0),MATCH('Teithio i’r Ysgol a Theithiau S'!I$7,'Ffactorau Allyriadau'!$K$2:$V$2,0)))</calculatedColumnFormula>
    </tableColumn>
    <tableColumn id="11" xr3:uid="{00000000-0010-0000-0400-00000B000000}" name="Total emissions">
      <calculatedColumnFormula>IF(OR(G31="",I31=""),"",SUM(CommutingTable[[#This Row],[Direct]:[Indirect WTT]]))</calculatedColumnFormula>
    </tableColumn>
    <tableColumn id="12" xr3:uid="{00000000-0010-0000-0400-00000C000000}" name="Notes"/>
    <tableColumn id="14" xr3:uid="{00000000-0010-0000-0400-00000E000000}" name="Direct">
      <calculatedColumnFormula array="1">IF(OR($C31="",$E31="",CommutingTable[[#This Row],[Converted data]]=""),"",(INDEX('Ffactorau Allyriadau'!$K$3:$V$201,MATCH($B31&amp;$C31&amp;$D31,'Ffactorau Allyriadau'!$J$3:$J$201&amp;'Ffactorau Allyriadau'!$K$3:$K$201&amp;'Ffactorau Allyriadau'!$L$3:$L$201,0),MATCH(L$30,'Ffactorau Allyriadau'!$K$2:$V$2,0)))*$G31)</calculatedColumnFormula>
    </tableColumn>
    <tableColumn id="15" xr3:uid="{00000000-0010-0000-0400-00000F000000}" name="Indirect generation">
      <calculatedColumnFormula array="1">IF(OR($C31="",$E31="",CommutingTable[[#This Row],[Converted data]]=""),"",(INDEX('Ffactorau Allyriadau'!$K$3:$V$201,MATCH($B31&amp;$C31&amp;$D31,'Ffactorau Allyriadau'!$J$3:$J$201&amp;'Ffactorau Allyriadau'!$K$3:$K$201&amp;'Ffactorau Allyriadau'!$L$3:$L$201,0),MATCH(M$30,'Ffactorau Allyriadau'!$K$2:$V$2,0)))*$G31)</calculatedColumnFormula>
    </tableColumn>
    <tableColumn id="16" xr3:uid="{00000000-0010-0000-0400-000010000000}" name="Indirect service">
      <calculatedColumnFormula array="1">IF(OR($C31="",$E31="",CommutingTable[[#This Row],[Converted data]]=""),"",(INDEX('Ffactorau Allyriadau'!$K$3:$V$201,MATCH($B31&amp;$C31&amp;$D31,'Ffactorau Allyriadau'!$J$3:$J$201&amp;'Ffactorau Allyriadau'!$K$3:$K$201&amp;'Ffactorau Allyriadau'!$L$3:$L$201,0),MATCH(N$30,'Ffactorau Allyriadau'!$K$2:$V$2,0)))*$G31)</calculatedColumnFormula>
    </tableColumn>
    <tableColumn id="17" xr3:uid="{00000000-0010-0000-0400-000011000000}" name="Indirect T&amp;D">
      <calculatedColumnFormula array="1">IF(OR($C31="",$E31="",CommutingTable[[#This Row],[Converted data]]=""),"",(INDEX('Ffactorau Allyriadau'!$K$3:$V$201,MATCH($B31&amp;$C31&amp;$D31,'Ffactorau Allyriadau'!$J$3:$J$201&amp;'Ffactorau Allyriadau'!$K$3:$K$201&amp;'Ffactorau Allyriadau'!$L$3:$L$201,0),MATCH(O$30,'Ffactorau Allyriadau'!$K$2:$V$2,0)))*$G31)</calculatedColumnFormula>
    </tableColumn>
    <tableColumn id="18" xr3:uid="{00000000-0010-0000-0400-000012000000}" name="Indirect WTT">
      <calculatedColumnFormula array="1">IF(OR($C31="",$E31="",CommutingTable[[#This Row],[Converted data]]=""),"",(INDEX('Ffactorau Allyriadau'!$K$3:$V$201,MATCH($B31&amp;$C31&amp;$D31,'Ffactorau Allyriadau'!$J$3:$J$201&amp;'Ffactorau Allyriadau'!$K$3:$K$201&amp;'Ffactorau Allyriadau'!$L$3:$L$201,0),MATCH(P$30,'Ffactorau Allyriadau'!$K$2:$V$2,0)))*$G31)</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OrganisationalWasteTable" displayName="OrganisationalWasteTable" ref="B7:O48" totalsRowShown="0" headerRowDxfId="41" dataDxfId="39" headerRowBorderDxfId="40" tableBorderDxfId="38" totalsRowBorderDxfId="37">
  <autoFilter ref="B7:O48" xr:uid="{00000000-0009-0000-0100-000008000000}"/>
  <tableColumns count="14">
    <tableColumn id="1" xr3:uid="{00000000-0010-0000-0500-000001000000}" name="Waste type"/>
    <tableColumn id="2" xr3:uid="{00000000-0010-0000-0500-000002000000}" name="Disposal"/>
    <tableColumn id="5" xr3:uid="{00000000-0010-0000-0500-000005000000}" name="Data"/>
    <tableColumn id="6" xr3:uid="{00000000-0010-0000-0500-000006000000}" name="Units"/>
    <tableColumn id="7" xr3:uid="{00000000-0010-0000-0500-000007000000}" name="Converted data">
      <calculatedColumnFormula array="1">IF(OR($B8="",$C8="",E8=""),"",IF(E8=G8,D8,(INDEX('Ffactorau Allyriadau'!$K$3:$V$379,MATCH($B8&amp;$C8,'Ffactorau Allyriadau'!$K$3:$K$379&amp;'Ffactorau Allyriadau'!$L$3:$L$379,0),MATCH($F$7,'Ffactorau Allyriadau'!$K$2:$V$2,0)))*D8))</calculatedColumnFormula>
    </tableColumn>
    <tableColumn id="8" xr3:uid="{00000000-0010-0000-0500-000008000000}" name="Standard units">
      <calculatedColumnFormula array="1">IF(OR($B8="",$D8="",OrganisationalWasteTable[[#This Row],[Units]]=""),"",INDEX('Ffactorau Allyriadau'!$K$3:$V$379,MATCH($B8&amp;$C8,'Ffactorau Allyriadau'!$K$3:$K$379&amp;'Ffactorau Allyriadau'!$L$3:$L$379,0),MATCH($G$7,'Ffactorau Allyriadau'!$K$2:$V$2,0)))</calculatedColumnFormula>
    </tableColumn>
    <tableColumn id="9" xr3:uid="{00000000-0010-0000-0500-000009000000}" name="Total EF (kgCO2e/unit)">
      <calculatedColumnFormula array="1">IF(OR(B8="",C8="",OrganisationalWasteTable[[#This Row],[Data]]=""),"",INDEX('Ffactorau Allyriadau'!$K$3:$V$379,MATCH($B8&amp;$C8,'Ffactorau Allyriadau'!$K$3:$K$379&amp;'Ffactorau Allyriadau'!$L$3:$L$379,0),MATCH($H$7,'Ffactorau Allyriadau'!$K$2:$V$2,0)))</calculatedColumnFormula>
    </tableColumn>
    <tableColumn id="10" xr3:uid="{00000000-0010-0000-0500-00000A000000}" name="Total emissions">
      <calculatedColumnFormula>IF(OR(OrganisationalWasteTable[[#This Row],[Waste type]]="",OrganisationalWasteTable[[#This Row],[Converted data]]=""),"",SUM(OrganisationalWasteTable[[#This Row],[Direct]:[Indirect WTT]]))</calculatedColumnFormula>
    </tableColumn>
    <tableColumn id="11" xr3:uid="{00000000-0010-0000-0500-00000B000000}" name="Notes"/>
    <tableColumn id="13" xr3:uid="{00000000-0010-0000-0500-00000D000000}" name="Direct">
      <calculatedColumnFormula array="1">IF(OR($B8="",$D8="",$F8=""),"",(INDEX('Ffactorau Allyriadau'!$K$3:$V$379,MATCH($B8&amp;$C8,'Ffactorau Allyriadau'!$K$3:$K$379&amp;'Ffactorau Allyriadau'!$L$3:$L$379,0),MATCH(K$7,'Ffactorau Allyriadau'!$K$2:$V$2,0)))*$F8)</calculatedColumnFormula>
    </tableColumn>
    <tableColumn id="14" xr3:uid="{00000000-0010-0000-0500-00000E000000}" name="Indirect generation">
      <calculatedColumnFormula array="1">IF(OR($B8="",$D8="",$F8=""),"",(INDEX('Ffactorau Allyriadau'!$K$3:$V$379,MATCH($B8&amp;$C8,'Ffactorau Allyriadau'!$K$3:$K$379&amp;'Ffactorau Allyriadau'!$L$3:$L$379,0),MATCH(L$7,'Ffactorau Allyriadau'!$K$2:$V$2,0)))*$F8)</calculatedColumnFormula>
    </tableColumn>
    <tableColumn id="15" xr3:uid="{00000000-0010-0000-0500-00000F000000}" name="Indirect service">
      <calculatedColumnFormula array="1">IF(OR($B8="",$D8="",$F8=""),"",(INDEX('Ffactorau Allyriadau'!$K$3:$V$379,MATCH($B8&amp;$C8,'Ffactorau Allyriadau'!$K$3:$K$379&amp;'Ffactorau Allyriadau'!$L$3:$L$379,0),MATCH(M$7,'Ffactorau Allyriadau'!$K$2:$V$2,0)))*$F8)</calculatedColumnFormula>
    </tableColumn>
    <tableColumn id="16" xr3:uid="{00000000-0010-0000-0500-000010000000}" name="Indirect T&amp;D">
      <calculatedColumnFormula array="1">IF(OR($B8="",$D8="",$F8=""),"",(INDEX('Ffactorau Allyriadau'!$K$3:$V$379,MATCH($B8&amp;$C8,'Ffactorau Allyriadau'!$K$3:$K$379&amp;'Ffactorau Allyriadau'!$L$3:$L$379,0),MATCH(N$7,'Ffactorau Allyriadau'!$K$2:$V$2,0)))*$F8)</calculatedColumnFormula>
    </tableColumn>
    <tableColumn id="17" xr3:uid="{00000000-0010-0000-0500-000011000000}" name="Indirect WTT">
      <calculatedColumnFormula array="1">IF(OR($B8="",$D8="",$F8=""),"",(INDEX('Ffactorau Allyriadau'!$K$3:$V$379,MATCH($B8&amp;$C8,'Ffactorau Allyriadau'!$K$3:$K$379&amp;'Ffactorau Allyriadau'!$L$3:$L$379,0),MATCH(O$7,'Ffactorau Allyriadau'!$K$2:$V$2,0)))*$F8)</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SupplychainTier2" displayName="SupplychainTier2" ref="B54:H86" totalsRowShown="0" dataDxfId="36" tableBorderDxfId="35">
  <autoFilter ref="B54:H86" xr:uid="{00000000-0009-0000-0100-00000A000000}"/>
  <tableColumns count="7">
    <tableColumn id="1" xr3:uid="{00000000-0010-0000-0600-000001000000}" name="Supply chain group"/>
    <tableColumn id="2" xr3:uid="{00000000-0010-0000-0600-000002000000}" name="SIC code (SIC 2007)"/>
    <tableColumn id="3" xr3:uid="{00000000-0010-0000-0600-000003000000}" name="Product category"/>
    <tableColumn id="4" xr3:uid="{00000000-0010-0000-0600-000004000000}" name="Spend for which Tier 2 method accounts"/>
    <tableColumn id="5" xr3:uid="{00000000-0010-0000-0600-000005000000}" name="Not used"/>
    <tableColumn id="6" xr3:uid="{00000000-0010-0000-0600-000006000000}" name="Calculated emissions (kgCO2e) for this spend"/>
    <tableColumn id="8" xr3:uid="{00000000-0010-0000-0600-000008000000}" name="Notes on data source and method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SupplyChainTier1" displayName="SupplyChainTier1" ref="B7:I48" totalsRowShown="0" dataDxfId="34" tableBorderDxfId="33">
  <autoFilter ref="B7:I48" xr:uid="{00000000-0009-0000-0100-00000B000000}"/>
  <tableColumns count="8">
    <tableColumn id="1" xr3:uid="{00000000-0010-0000-0700-000001000000}" name="Supply chain group"/>
    <tableColumn id="2" xr3:uid="{00000000-0010-0000-0700-000002000000}" name="SIC code (SIC 2007)"/>
    <tableColumn id="3" xr3:uid="{00000000-0010-0000-0700-000003000000}" name="Product category"/>
    <tableColumn id="4" xr3:uid="{00000000-0010-0000-0700-000004000000}" name="Amount spent by product category (£)"/>
    <tableColumn id="5" xr3:uid="{00000000-0010-0000-0700-000005000000}" name="Emission factor (kgCO2e per £ spent)"/>
    <tableColumn id="6" xr3:uid="{00000000-0010-0000-0700-000006000000}" name="Total kg CO2e">
      <calculatedColumnFormula>IF(ISBLANK(E8),"",E8*F8)</calculatedColumnFormula>
    </tableColumn>
    <tableColumn id="8" xr3:uid="{00000000-0010-0000-0700-000008000000}" name="Notes on data source and exclusions"/>
    <tableColumn id="11" xr3:uid="{00000000-0010-0000-0700-00000B000000}" name="Tier 1 &amp; 2 combined emission">
      <calculatedColumnFormula>(SupplyChainTier1[[#This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OnsiteRenewablesTable" displayName="OnsiteRenewablesTable" ref="B7:G21" totalsRowShown="0" dataDxfId="31" headerRowBorderDxfId="32" tableBorderDxfId="30" totalsRowBorderDxfId="29">
  <autoFilter ref="B7:G21" xr:uid="{00000000-0009-0000-0100-00000C000000}"/>
  <tableColumns count="6">
    <tableColumn id="1" xr3:uid="{00000000-0010-0000-0800-000001000000}" name="Renewable Type"/>
    <tableColumn id="2" xr3:uid="{00000000-0010-0000-0800-000002000000}" name="Technology"/>
    <tableColumn id="5" xr3:uid="{00000000-0010-0000-0800-000005000000}" name="Total kWh generated"/>
    <tableColumn id="6" xr3:uid="{00000000-0010-0000-0800-000006000000}" name="kWh consumed onsite"/>
    <tableColumn id="7" xr3:uid="{00000000-0010-0000-0800-000007000000}" name="kWh exported"/>
    <tableColumn id="8" xr3:uid="{00000000-0010-0000-0800-000008000000}"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5" Type="http://schemas.openxmlformats.org/officeDocument/2006/relationships/comments" Target="../comments1.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cibse.org/Knowledge/Benchmarking" TargetMode="External"/><Relationship Id="rId2" Type="http://schemas.openxmlformats.org/officeDocument/2006/relationships/hyperlink" Target="https://www.racfoundation.org/assets/rac_foundation/content/downloadables/car-and-the-commute-web-version.pdf" TargetMode="External"/><Relationship Id="rId1" Type="http://schemas.openxmlformats.org/officeDocument/2006/relationships/hyperlink" Target="http://www.webflyer.com/travel/mileage_calculator/"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249977111117893"/>
    <pageSetUpPr fitToPage="1"/>
  </sheetPr>
  <dimension ref="A1:Q53"/>
  <sheetViews>
    <sheetView topLeftCell="A3" workbookViewId="0">
      <selection activeCell="C10" sqref="C10"/>
    </sheetView>
  </sheetViews>
  <sheetFormatPr defaultColWidth="8.54296875" defaultRowHeight="14.5" x14ac:dyDescent="0.35"/>
  <cols>
    <col min="1" max="1" width="3.81640625" style="1" customWidth="1"/>
    <col min="2" max="2" width="25.453125" style="1" customWidth="1"/>
    <col min="3" max="3" width="89" style="1" customWidth="1"/>
    <col min="4" max="4" width="47.1796875" style="1" customWidth="1"/>
    <col min="5" max="8" width="8.54296875" style="1" customWidth="1"/>
    <col min="9" max="9" width="43.81640625" style="1" customWidth="1"/>
    <col min="10" max="10" width="8.54296875" style="1" customWidth="1"/>
    <col min="11" max="16384" width="8.54296875" style="1"/>
  </cols>
  <sheetData>
    <row r="1" spans="2:14" x14ac:dyDescent="0.35">
      <c r="B1" s="285" t="s">
        <v>1032</v>
      </c>
      <c r="E1" s="284"/>
    </row>
    <row r="2" spans="2:14" ht="18.5" x14ac:dyDescent="0.35">
      <c r="B2" s="303" t="s">
        <v>1011</v>
      </c>
      <c r="C2" s="304"/>
      <c r="D2" s="304"/>
      <c r="E2" s="304"/>
      <c r="F2" s="304"/>
      <c r="G2" s="304"/>
      <c r="H2" s="304"/>
      <c r="I2" s="304"/>
    </row>
    <row r="3" spans="2:14" ht="61.5" customHeight="1" x14ac:dyDescent="0.35">
      <c r="B3" s="301" t="s">
        <v>1061</v>
      </c>
      <c r="C3" s="302"/>
      <c r="D3" s="302"/>
      <c r="E3" s="302"/>
      <c r="F3" s="302"/>
      <c r="G3" s="302"/>
      <c r="H3" s="302"/>
      <c r="I3" s="302"/>
      <c r="J3" s="74"/>
    </row>
    <row r="4" spans="2:14" x14ac:dyDescent="0.35">
      <c r="B4" s="305"/>
      <c r="C4" s="306"/>
      <c r="D4" s="185"/>
      <c r="E4" s="134"/>
      <c r="F4" s="134"/>
      <c r="G4" s="134"/>
      <c r="H4" s="134"/>
      <c r="I4" s="133"/>
      <c r="J4" s="74"/>
    </row>
    <row r="5" spans="2:14" x14ac:dyDescent="0.35">
      <c r="D5" s="13"/>
      <c r="G5" s="7"/>
      <c r="H5" s="7"/>
      <c r="I5" s="7"/>
      <c r="J5" s="74"/>
    </row>
    <row r="6" spans="2:14" ht="19" thickBot="1" x14ac:dyDescent="0.4">
      <c r="B6" s="31" t="s">
        <v>1012</v>
      </c>
      <c r="D6" s="9"/>
      <c r="F6" s="26"/>
      <c r="G6" s="63"/>
      <c r="H6" s="63"/>
      <c r="I6" s="63"/>
      <c r="J6" s="74"/>
    </row>
    <row r="7" spans="2:14" ht="15" thickBot="1" x14ac:dyDescent="0.4">
      <c r="B7" s="15" t="s">
        <v>1012</v>
      </c>
      <c r="C7" s="280" t="s">
        <v>1018</v>
      </c>
      <c r="D7" s="157"/>
      <c r="E7" s="13"/>
      <c r="F7" s="26"/>
      <c r="G7" s="63"/>
      <c r="H7" s="274"/>
      <c r="I7" s="274"/>
      <c r="J7" s="74"/>
    </row>
    <row r="8" spans="2:14" ht="15" thickBot="1" x14ac:dyDescent="0.4">
      <c r="B8" s="15" t="s">
        <v>1012</v>
      </c>
      <c r="C8" s="4" t="s">
        <v>1013</v>
      </c>
      <c r="D8" s="157"/>
      <c r="E8" s="13"/>
      <c r="F8" s="26"/>
      <c r="G8" s="63"/>
      <c r="H8" s="63"/>
      <c r="I8" s="63"/>
      <c r="J8" s="74"/>
    </row>
    <row r="9" spans="2:14" ht="15" thickBot="1" x14ac:dyDescent="0.4">
      <c r="B9" s="15" t="s">
        <v>1012</v>
      </c>
      <c r="C9" s="4" t="s">
        <v>1014</v>
      </c>
      <c r="D9" s="158"/>
      <c r="E9" s="13"/>
      <c r="F9" s="26"/>
      <c r="G9" s="63"/>
      <c r="H9" s="115"/>
      <c r="I9" s="275"/>
      <c r="J9" s="74"/>
    </row>
    <row r="10" spans="2:14" ht="15" thickBot="1" x14ac:dyDescent="0.4">
      <c r="B10" s="15" t="s">
        <v>1012</v>
      </c>
      <c r="C10" s="4" t="s">
        <v>1015</v>
      </c>
      <c r="D10" s="158"/>
      <c r="G10" s="27"/>
      <c r="H10" s="271"/>
      <c r="I10" s="273"/>
      <c r="J10" s="74"/>
    </row>
    <row r="11" spans="2:14" ht="15" thickBot="1" x14ac:dyDescent="0.4">
      <c r="B11" s="15" t="s">
        <v>1012</v>
      </c>
      <c r="C11" s="4" t="s">
        <v>1062</v>
      </c>
      <c r="D11" s="158"/>
      <c r="H11" s="44"/>
      <c r="I11" s="45"/>
      <c r="J11" s="74"/>
    </row>
    <row r="12" spans="2:14" ht="15" thickBot="1" x14ac:dyDescent="0.4">
      <c r="H12" s="272"/>
      <c r="I12" s="45"/>
      <c r="J12" s="74"/>
    </row>
    <row r="13" spans="2:14" ht="19" thickBot="1" x14ac:dyDescent="0.4">
      <c r="B13" s="31" t="s">
        <v>1016</v>
      </c>
      <c r="E13" s="13"/>
      <c r="H13" s="44"/>
      <c r="I13" s="45"/>
      <c r="J13" s="74"/>
    </row>
    <row r="14" spans="2:14" ht="29.5" thickBot="1" x14ac:dyDescent="0.4">
      <c r="B14" s="76" t="s">
        <v>1016</v>
      </c>
      <c r="C14" s="88" t="s">
        <v>1017</v>
      </c>
      <c r="D14" s="234"/>
      <c r="H14" s="168"/>
      <c r="I14" s="45"/>
      <c r="J14" s="74"/>
      <c r="N14" s="13"/>
    </row>
    <row r="15" spans="2:14" ht="15" thickBot="1" x14ac:dyDescent="0.4">
      <c r="H15" s="270"/>
      <c r="I15" s="10"/>
      <c r="J15" s="74"/>
      <c r="N15" s="13"/>
    </row>
    <row r="16" spans="2:14" ht="15" thickBot="1" x14ac:dyDescent="0.4">
      <c r="E16" s="27"/>
      <c r="H16" s="168"/>
      <c r="I16" s="10"/>
      <c r="J16" s="74"/>
    </row>
    <row r="18" spans="5:17" x14ac:dyDescent="0.35">
      <c r="E18" s="262"/>
      <c r="F18" s="7"/>
      <c r="G18" s="7"/>
      <c r="H18" s="7"/>
      <c r="I18" s="7"/>
      <c r="J18" s="7"/>
      <c r="K18" s="7"/>
      <c r="L18" s="7"/>
      <c r="M18" s="7"/>
      <c r="N18" s="7"/>
      <c r="O18" s="7"/>
      <c r="P18" s="7"/>
    </row>
    <row r="19" spans="5:17" x14ac:dyDescent="0.35">
      <c r="F19" s="74"/>
      <c r="G19" s="74"/>
      <c r="H19" s="74"/>
      <c r="I19" s="74"/>
      <c r="J19" s="74"/>
      <c r="K19" s="74"/>
      <c r="L19" s="74"/>
      <c r="M19" s="74"/>
      <c r="N19" s="74"/>
      <c r="O19" s="74"/>
      <c r="P19" s="74"/>
      <c r="Q19" s="54"/>
    </row>
    <row r="20" spans="5:17" x14ac:dyDescent="0.35">
      <c r="F20" s="74"/>
      <c r="G20" s="74"/>
      <c r="H20" s="74"/>
      <c r="I20" s="74"/>
      <c r="J20" s="74"/>
      <c r="K20" s="74"/>
      <c r="L20" s="74"/>
      <c r="M20" s="74"/>
      <c r="N20" s="74"/>
      <c r="O20" s="74"/>
      <c r="P20" s="74"/>
      <c r="Q20" s="54"/>
    </row>
    <row r="21" spans="5:17" x14ac:dyDescent="0.35">
      <c r="E21" s="263"/>
      <c r="F21" s="74"/>
      <c r="G21" s="74"/>
      <c r="H21" s="74"/>
      <c r="I21" s="74"/>
      <c r="J21" s="74"/>
      <c r="K21" s="74"/>
      <c r="L21" s="74"/>
      <c r="M21" s="74"/>
      <c r="N21" s="74"/>
      <c r="O21" s="74"/>
      <c r="P21" s="74"/>
      <c r="Q21" s="54"/>
    </row>
    <row r="22" spans="5:17" x14ac:dyDescent="0.35">
      <c r="E22" s="263"/>
      <c r="F22" s="75"/>
      <c r="G22" s="74"/>
      <c r="H22" s="74"/>
      <c r="I22" s="74"/>
      <c r="J22" s="74"/>
      <c r="K22" s="74"/>
      <c r="L22" s="74"/>
      <c r="M22" s="74"/>
      <c r="N22" s="74"/>
      <c r="O22" s="74"/>
      <c r="P22" s="74"/>
      <c r="Q22" s="54"/>
    </row>
    <row r="23" spans="5:17" x14ac:dyDescent="0.35">
      <c r="E23" s="263"/>
      <c r="F23" s="75"/>
      <c r="G23" s="74"/>
      <c r="H23" s="74"/>
      <c r="I23" s="74"/>
      <c r="J23" s="74"/>
      <c r="K23" s="74"/>
      <c r="L23" s="74"/>
      <c r="M23" s="74"/>
      <c r="N23" s="74"/>
      <c r="O23" s="74"/>
      <c r="P23" s="74"/>
      <c r="Q23" s="54"/>
    </row>
    <row r="24" spans="5:17" ht="15" thickBot="1" x14ac:dyDescent="0.4">
      <c r="E24" s="264"/>
      <c r="F24" s="74"/>
      <c r="G24" s="74"/>
      <c r="H24" s="74"/>
      <c r="I24" s="74"/>
      <c r="J24" s="74"/>
      <c r="K24" s="74"/>
      <c r="L24" s="74"/>
      <c r="M24" s="74"/>
      <c r="N24" s="74"/>
      <c r="O24" s="74"/>
      <c r="P24" s="74"/>
      <c r="Q24" s="54"/>
    </row>
    <row r="25" spans="5:17" x14ac:dyDescent="0.35">
      <c r="F25" s="74"/>
      <c r="G25" s="74"/>
      <c r="H25" s="74"/>
      <c r="I25" s="74"/>
      <c r="J25" s="74"/>
      <c r="K25" s="74"/>
      <c r="L25" s="74"/>
      <c r="M25" s="74"/>
      <c r="N25" s="74"/>
      <c r="O25" s="74"/>
      <c r="P25" s="74"/>
      <c r="Q25" s="54"/>
    </row>
    <row r="26" spans="5:17" x14ac:dyDescent="0.35">
      <c r="F26" s="74"/>
      <c r="G26" s="74"/>
      <c r="H26" s="74"/>
      <c r="I26" s="74"/>
      <c r="J26" s="74"/>
      <c r="K26" s="74"/>
      <c r="L26" s="74"/>
      <c r="M26" s="74"/>
      <c r="N26" s="74"/>
      <c r="O26" s="74"/>
      <c r="P26" s="74"/>
      <c r="Q26" s="54"/>
    </row>
    <row r="27" spans="5:17" x14ac:dyDescent="0.35">
      <c r="F27" s="74"/>
      <c r="G27" s="74"/>
      <c r="H27" s="74"/>
      <c r="I27" s="74"/>
      <c r="J27" s="74"/>
      <c r="K27" s="74"/>
      <c r="L27" s="74"/>
      <c r="M27" s="74"/>
      <c r="N27" s="74"/>
      <c r="O27" s="74"/>
      <c r="P27" s="74"/>
      <c r="Q27" s="54"/>
    </row>
    <row r="28" spans="5:17" x14ac:dyDescent="0.35">
      <c r="F28" s="74"/>
      <c r="G28" s="74"/>
      <c r="H28" s="74"/>
      <c r="I28" s="74"/>
      <c r="J28" s="74"/>
      <c r="K28" s="74"/>
      <c r="L28" s="74"/>
      <c r="M28" s="74"/>
      <c r="N28" s="74"/>
      <c r="O28" s="74"/>
      <c r="P28" s="74"/>
      <c r="Q28" s="54"/>
    </row>
    <row r="29" spans="5:17" x14ac:dyDescent="0.35">
      <c r="F29" s="74"/>
      <c r="G29" s="74"/>
      <c r="H29" s="74"/>
      <c r="I29" s="74"/>
      <c r="J29" s="74"/>
      <c r="K29" s="74"/>
      <c r="L29" s="74"/>
      <c r="M29" s="74"/>
      <c r="N29" s="74"/>
      <c r="O29" s="74"/>
      <c r="P29" s="74"/>
      <c r="Q29" s="54"/>
    </row>
    <row r="30" spans="5:17" x14ac:dyDescent="0.35">
      <c r="F30" s="74"/>
      <c r="G30" s="74"/>
      <c r="H30" s="74"/>
      <c r="I30" s="74"/>
      <c r="J30" s="74"/>
      <c r="K30" s="74"/>
      <c r="L30" s="74"/>
      <c r="M30" s="74"/>
      <c r="N30" s="74"/>
      <c r="O30" s="74"/>
      <c r="P30" s="74"/>
      <c r="Q30" s="54"/>
    </row>
    <row r="31" spans="5:17" x14ac:dyDescent="0.35">
      <c r="F31" s="74"/>
      <c r="G31" s="74"/>
      <c r="H31" s="74"/>
      <c r="I31" s="74"/>
      <c r="J31" s="74"/>
      <c r="K31" s="74"/>
      <c r="L31" s="74"/>
      <c r="M31" s="74"/>
      <c r="N31" s="74"/>
      <c r="O31" s="74"/>
      <c r="P31" s="74"/>
      <c r="Q31" s="54"/>
    </row>
    <row r="32" spans="5:17" x14ac:dyDescent="0.35">
      <c r="F32" s="74"/>
      <c r="G32" s="74"/>
      <c r="H32" s="74"/>
      <c r="I32" s="74"/>
      <c r="J32" s="74"/>
      <c r="K32" s="74"/>
      <c r="L32" s="74"/>
      <c r="M32" s="74"/>
      <c r="N32" s="74"/>
      <c r="O32" s="74"/>
      <c r="P32" s="74"/>
      <c r="Q32" s="54"/>
    </row>
    <row r="33" spans="1:17" x14ac:dyDescent="0.35">
      <c r="F33" s="74"/>
      <c r="G33" s="74"/>
      <c r="H33" s="74"/>
      <c r="I33" s="74"/>
      <c r="J33" s="74"/>
      <c r="K33" s="74"/>
      <c r="L33" s="74"/>
      <c r="M33" s="74"/>
      <c r="N33" s="74"/>
      <c r="O33" s="74"/>
      <c r="P33" s="74"/>
      <c r="Q33" s="54"/>
    </row>
    <row r="34" spans="1:17" x14ac:dyDescent="0.35">
      <c r="F34" s="74"/>
      <c r="G34" s="74"/>
      <c r="H34" s="74"/>
      <c r="I34" s="74"/>
      <c r="J34" s="74"/>
      <c r="K34" s="74"/>
      <c r="L34" s="74"/>
      <c r="M34" s="74"/>
      <c r="N34" s="74"/>
      <c r="O34" s="74"/>
      <c r="P34" s="74"/>
      <c r="Q34" s="54"/>
    </row>
    <row r="35" spans="1:17" x14ac:dyDescent="0.35">
      <c r="F35" s="74"/>
      <c r="G35" s="74"/>
      <c r="H35" s="74"/>
      <c r="I35" s="74"/>
      <c r="J35" s="74"/>
      <c r="K35" s="74"/>
      <c r="L35" s="74"/>
      <c r="M35" s="74"/>
      <c r="N35" s="74"/>
      <c r="O35" s="74"/>
      <c r="P35" s="74"/>
      <c r="Q35" s="54"/>
    </row>
    <row r="36" spans="1:17" x14ac:dyDescent="0.35">
      <c r="F36" s="79"/>
      <c r="G36" s="79"/>
      <c r="H36" s="79"/>
      <c r="I36" s="79"/>
      <c r="J36" s="79"/>
      <c r="K36" s="79"/>
      <c r="L36" s="79"/>
      <c r="M36" s="79"/>
      <c r="N36" s="79"/>
      <c r="O36" s="79"/>
      <c r="P36" s="79"/>
      <c r="Q36" s="54"/>
    </row>
    <row r="37" spans="1:17" x14ac:dyDescent="0.35">
      <c r="F37" s="27"/>
      <c r="G37" s="27"/>
      <c r="H37" s="27"/>
      <c r="I37" s="27"/>
      <c r="J37" s="27"/>
      <c r="K37" s="27"/>
      <c r="L37" s="27"/>
      <c r="M37" s="27"/>
      <c r="N37" s="27"/>
      <c r="O37" s="27"/>
      <c r="P37" s="27"/>
    </row>
    <row r="39" spans="1:17" ht="121.75" customHeight="1" x14ac:dyDescent="0.35">
      <c r="F39" s="262"/>
      <c r="G39" s="265"/>
      <c r="H39" s="266"/>
      <c r="I39" s="266"/>
      <c r="J39" s="266"/>
      <c r="K39" s="262"/>
      <c r="L39" s="14"/>
    </row>
    <row r="40" spans="1:17" ht="29.5" customHeight="1" x14ac:dyDescent="0.35"/>
    <row r="42" spans="1:17" x14ac:dyDescent="0.35">
      <c r="A42"/>
      <c r="F42" s="263"/>
      <c r="G42" s="263"/>
      <c r="H42" s="263"/>
      <c r="I42" s="263"/>
      <c r="J42" s="263"/>
      <c r="K42" s="263"/>
    </row>
    <row r="43" spans="1:17" x14ac:dyDescent="0.35">
      <c r="F43" s="263"/>
      <c r="G43" s="263"/>
      <c r="H43" s="263"/>
      <c r="I43" s="263"/>
      <c r="J43" s="263"/>
      <c r="K43" s="263"/>
    </row>
    <row r="44" spans="1:17" x14ac:dyDescent="0.35">
      <c r="F44" s="263"/>
      <c r="G44" s="263"/>
      <c r="H44" s="263"/>
      <c r="I44" s="263"/>
      <c r="J44" s="263"/>
      <c r="K44" s="263"/>
    </row>
    <row r="45" spans="1:17" ht="62.5" customHeight="1" thickBot="1" x14ac:dyDescent="0.4">
      <c r="F45" s="264"/>
      <c r="G45" s="268"/>
      <c r="H45" s="264"/>
      <c r="I45" s="267"/>
      <c r="J45" s="267"/>
      <c r="K45" s="269"/>
    </row>
    <row r="48" spans="1:17" hidden="1" x14ac:dyDescent="0.35">
      <c r="A48"/>
    </row>
    <row r="49" spans="1:1" hidden="1" x14ac:dyDescent="0.35">
      <c r="A49"/>
    </row>
    <row r="50" spans="1:1" hidden="1" x14ac:dyDescent="0.35">
      <c r="A50"/>
    </row>
    <row r="51" spans="1:1" hidden="1" x14ac:dyDescent="0.35">
      <c r="A51"/>
    </row>
    <row r="52" spans="1:1" hidden="1" x14ac:dyDescent="0.35">
      <c r="A52"/>
    </row>
    <row r="53" spans="1:1" hidden="1" x14ac:dyDescent="0.35">
      <c r="A53"/>
    </row>
  </sheetData>
  <mergeCells count="3">
    <mergeCell ref="B3:I3"/>
    <mergeCell ref="B2:I2"/>
    <mergeCell ref="B4:C4"/>
  </mergeCells>
  <pageMargins left="0.7" right="0.7" top="0.75" bottom="0.75" header="0.3" footer="0.3"/>
  <pageSetup paperSize="8" scale="6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tabColor rgb="FFCBCBCB"/>
  </sheetPr>
  <dimension ref="B2:BC248"/>
  <sheetViews>
    <sheetView topLeftCell="U1" zoomScale="87" workbookViewId="0">
      <selection activeCell="U19" sqref="U19"/>
    </sheetView>
  </sheetViews>
  <sheetFormatPr defaultColWidth="8.81640625" defaultRowHeight="14.5" x14ac:dyDescent="0.35"/>
  <cols>
    <col min="1" max="1" width="5.54296875" style="1" customWidth="1"/>
    <col min="2" max="3" width="8.81640625" style="1" customWidth="1"/>
    <col min="4" max="4" width="37.1796875" style="1" customWidth="1"/>
    <col min="5" max="12" width="8.81640625" style="1" customWidth="1"/>
    <col min="13" max="14" width="18.1796875" style="1" customWidth="1"/>
    <col min="15" max="17" width="24.1796875" style="1" customWidth="1"/>
    <col min="18" max="19" width="28.81640625" style="1" customWidth="1"/>
    <col min="20" max="20" width="8.81640625" style="1" customWidth="1"/>
    <col min="21" max="21" width="32" style="1" customWidth="1"/>
    <col min="22" max="24" width="28" style="1" customWidth="1"/>
    <col min="25" max="25" width="18.81640625" style="1" customWidth="1"/>
    <col min="26" max="30" width="8.81640625" style="1" customWidth="1"/>
    <col min="31" max="34" width="17.81640625" style="1" customWidth="1"/>
    <col min="35" max="36" width="24.54296875" style="1" customWidth="1"/>
    <col min="37" max="37" width="8.81640625" style="1" customWidth="1"/>
    <col min="38" max="38" width="27.54296875" style="1" customWidth="1"/>
    <col min="39" max="48" width="8.81640625" style="1" customWidth="1"/>
    <col min="49" max="49" width="8.81640625" style="203" customWidth="1"/>
    <col min="50" max="50" width="8.81640625" style="1" customWidth="1"/>
    <col min="51" max="51" width="18.54296875" style="1" customWidth="1"/>
    <col min="52" max="52" width="15" style="1" customWidth="1"/>
    <col min="53" max="53" width="8.81640625" style="1" customWidth="1"/>
    <col min="54" max="16384" width="8.81640625" style="1"/>
  </cols>
  <sheetData>
    <row r="2" spans="2:55" ht="18.5" x14ac:dyDescent="0.45">
      <c r="B2" s="379" t="s">
        <v>483</v>
      </c>
      <c r="C2" s="380"/>
      <c r="D2" s="381"/>
      <c r="E2" s="97"/>
      <c r="F2" s="98"/>
      <c r="G2" s="382" t="s">
        <v>484</v>
      </c>
      <c r="H2" s="383"/>
      <c r="I2" s="383"/>
      <c r="J2" s="384"/>
      <c r="L2" s="95" t="s">
        <v>270</v>
      </c>
      <c r="M2" s="96"/>
      <c r="O2" s="110" t="s">
        <v>4</v>
      </c>
      <c r="P2" s="110"/>
      <c r="Q2" s="110"/>
      <c r="R2" s="111"/>
      <c r="S2" s="111"/>
      <c r="U2" s="89" t="s">
        <v>18</v>
      </c>
      <c r="V2" s="89"/>
      <c r="W2" s="89"/>
      <c r="X2" s="89"/>
      <c r="AE2" s="77" t="s">
        <v>485</v>
      </c>
      <c r="AF2" s="78"/>
      <c r="AG2" s="78"/>
      <c r="AH2" s="78"/>
      <c r="AI2" s="78"/>
      <c r="AJ2" s="78"/>
      <c r="AL2" s="36" t="s">
        <v>22</v>
      </c>
      <c r="AP2" s="77" t="s">
        <v>486</v>
      </c>
      <c r="AQ2" s="78"/>
      <c r="AU2" s="73" t="s">
        <v>487</v>
      </c>
      <c r="AV2" s="72"/>
      <c r="AZ2" s="77" t="s">
        <v>488</v>
      </c>
      <c r="BA2" s="77"/>
    </row>
    <row r="3" spans="2:55" ht="15" thickBot="1" x14ac:dyDescent="0.4">
      <c r="B3" s="10" t="s">
        <v>57</v>
      </c>
      <c r="C3" s="10" t="s">
        <v>58</v>
      </c>
      <c r="D3" s="10" t="s">
        <v>489</v>
      </c>
      <c r="E3" s="10" t="s">
        <v>490</v>
      </c>
      <c r="F3" s="10"/>
      <c r="G3" s="10" t="s">
        <v>88</v>
      </c>
      <c r="H3" s="10"/>
      <c r="I3" s="10" t="s">
        <v>491</v>
      </c>
      <c r="J3" s="10"/>
      <c r="K3" s="10"/>
      <c r="L3" s="10" t="s">
        <v>492</v>
      </c>
      <c r="M3" s="10" t="s">
        <v>108</v>
      </c>
      <c r="N3" s="10"/>
      <c r="O3" s="10" t="s">
        <v>493</v>
      </c>
      <c r="P3" s="10" t="s">
        <v>85</v>
      </c>
      <c r="Q3" s="10" t="s">
        <v>87</v>
      </c>
      <c r="R3" s="10" t="s">
        <v>91</v>
      </c>
      <c r="S3" s="10" t="s">
        <v>93</v>
      </c>
      <c r="U3" s="10" t="s">
        <v>494</v>
      </c>
      <c r="V3" s="10" t="s">
        <v>495</v>
      </c>
      <c r="W3" s="10" t="s">
        <v>496</v>
      </c>
      <c r="X3" s="10" t="s">
        <v>497</v>
      </c>
      <c r="Y3" s="10"/>
      <c r="AA3" s="10"/>
      <c r="AB3" s="10"/>
      <c r="AC3" s="10"/>
      <c r="AD3" s="10"/>
      <c r="AE3" s="10" t="s">
        <v>498</v>
      </c>
      <c r="AF3" s="10" t="s">
        <v>16</v>
      </c>
      <c r="AG3" s="10" t="s">
        <v>17</v>
      </c>
      <c r="AH3" s="10"/>
      <c r="AL3" s="10" t="s">
        <v>251</v>
      </c>
      <c r="AM3" s="10" t="s">
        <v>262</v>
      </c>
      <c r="AP3" s="10" t="s">
        <v>110</v>
      </c>
      <c r="AU3" s="1" t="s">
        <v>976</v>
      </c>
      <c r="AV3" s="1" t="s">
        <v>115</v>
      </c>
      <c r="AW3" s="203" t="s">
        <v>116</v>
      </c>
      <c r="BA3" s="10" t="s">
        <v>72</v>
      </c>
      <c r="BB3" s="10" t="s">
        <v>100</v>
      </c>
      <c r="BC3" s="10" t="s">
        <v>75</v>
      </c>
    </row>
    <row r="4" spans="2:55" ht="15" thickBot="1" x14ac:dyDescent="0.4">
      <c r="B4" s="1" t="s">
        <v>72</v>
      </c>
      <c r="C4" s="22" t="s">
        <v>766</v>
      </c>
      <c r="D4" s="1" t="s">
        <v>86</v>
      </c>
      <c r="E4" s="1" t="s">
        <v>296</v>
      </c>
      <c r="G4" s="1" t="s">
        <v>0</v>
      </c>
      <c r="I4" s="1" t="s">
        <v>790</v>
      </c>
      <c r="L4" s="1" t="s">
        <v>418</v>
      </c>
      <c r="M4" s="1" t="s">
        <v>424</v>
      </c>
      <c r="O4" s="1" t="s">
        <v>69</v>
      </c>
      <c r="P4" s="1" t="s">
        <v>499</v>
      </c>
      <c r="Q4" s="1" t="s">
        <v>350</v>
      </c>
      <c r="R4" s="1" t="s">
        <v>350</v>
      </c>
      <c r="S4" s="1" t="s">
        <v>331</v>
      </c>
      <c r="U4" s="1" t="s">
        <v>399</v>
      </c>
      <c r="V4" s="1" t="s">
        <v>103</v>
      </c>
      <c r="W4" s="1" t="s">
        <v>382</v>
      </c>
      <c r="X4" s="1" t="s">
        <v>105</v>
      </c>
      <c r="AE4" s="1" t="s">
        <v>354</v>
      </c>
      <c r="AF4" s="1" t="s">
        <v>354</v>
      </c>
      <c r="AG4" s="1" t="s">
        <v>17</v>
      </c>
      <c r="AL4" s="1" t="s">
        <v>257</v>
      </c>
      <c r="AM4" s="1" t="s">
        <v>265</v>
      </c>
      <c r="AP4" s="37" t="s">
        <v>31</v>
      </c>
      <c r="AU4" s="1" t="s">
        <v>977</v>
      </c>
      <c r="AV4" s="1" t="s">
        <v>115</v>
      </c>
      <c r="AW4" s="203" t="s">
        <v>118</v>
      </c>
      <c r="AY4" s="1" t="s">
        <v>500</v>
      </c>
      <c r="AZ4" s="1" t="s">
        <v>70</v>
      </c>
      <c r="BA4" s="100">
        <v>2.5000000000000001E-2</v>
      </c>
      <c r="BB4" s="100">
        <v>0.05</v>
      </c>
      <c r="BC4" s="100">
        <v>0.1</v>
      </c>
    </row>
    <row r="5" spans="2:55" ht="15" thickBot="1" x14ac:dyDescent="0.4">
      <c r="B5" s="1" t="s">
        <v>100</v>
      </c>
      <c r="C5" s="22" t="s">
        <v>767</v>
      </c>
      <c r="D5" s="1" t="s">
        <v>74</v>
      </c>
      <c r="E5" s="1" t="s">
        <v>297</v>
      </c>
      <c r="G5" s="1" t="s">
        <v>501</v>
      </c>
      <c r="I5" s="1" t="s">
        <v>791</v>
      </c>
      <c r="L5" s="1" t="s">
        <v>419</v>
      </c>
      <c r="M5" s="1" t="s">
        <v>425</v>
      </c>
      <c r="P5" s="1" t="s">
        <v>502</v>
      </c>
      <c r="Q5" s="1" t="s">
        <v>339</v>
      </c>
      <c r="R5" s="1" t="s">
        <v>339</v>
      </c>
      <c r="S5" s="1" t="s">
        <v>326</v>
      </c>
      <c r="U5" s="1" t="s">
        <v>409</v>
      </c>
      <c r="V5" s="1" t="s">
        <v>399</v>
      </c>
      <c r="W5" s="1" t="s">
        <v>384</v>
      </c>
      <c r="X5" s="1" t="s">
        <v>383</v>
      </c>
      <c r="AE5" s="1" t="s">
        <v>358</v>
      </c>
      <c r="AF5" s="1" t="s">
        <v>97</v>
      </c>
      <c r="AL5" s="1" t="s">
        <v>259</v>
      </c>
      <c r="AM5" s="1" t="s">
        <v>267</v>
      </c>
      <c r="AP5" s="38" t="s">
        <v>33</v>
      </c>
      <c r="AU5" s="1" t="s">
        <v>978</v>
      </c>
      <c r="AV5" s="1" t="s">
        <v>115</v>
      </c>
      <c r="AW5" s="203" t="s">
        <v>120</v>
      </c>
      <c r="AY5" s="1" t="s">
        <v>500</v>
      </c>
      <c r="AZ5" s="1" t="s">
        <v>82</v>
      </c>
      <c r="BA5" s="100">
        <v>0.05</v>
      </c>
      <c r="BB5" s="101">
        <v>7.4999999999999997E-2</v>
      </c>
      <c r="BC5" s="100">
        <v>0.125</v>
      </c>
    </row>
    <row r="6" spans="2:55" ht="15" thickBot="1" x14ac:dyDescent="0.4">
      <c r="B6" s="1" t="s">
        <v>75</v>
      </c>
      <c r="C6" s="22" t="s">
        <v>768</v>
      </c>
      <c r="D6" s="1" t="s">
        <v>503</v>
      </c>
      <c r="G6" s="1" t="s">
        <v>504</v>
      </c>
      <c r="L6" s="1" t="s">
        <v>420</v>
      </c>
      <c r="P6" s="1" t="s">
        <v>505</v>
      </c>
      <c r="Q6" s="1" t="s">
        <v>345</v>
      </c>
      <c r="R6" s="1" t="s">
        <v>345</v>
      </c>
      <c r="U6" s="1" t="s">
        <v>407</v>
      </c>
      <c r="V6" s="1" t="s">
        <v>409</v>
      </c>
      <c r="W6" s="1" t="s">
        <v>385</v>
      </c>
      <c r="AE6" s="1" t="s">
        <v>97</v>
      </c>
      <c r="AF6" s="1" t="s">
        <v>506</v>
      </c>
      <c r="AL6" s="1" t="s">
        <v>260</v>
      </c>
      <c r="AP6" s="38" t="s">
        <v>34</v>
      </c>
      <c r="AU6" s="1" t="s">
        <v>979</v>
      </c>
      <c r="AV6" s="1" t="s">
        <v>122</v>
      </c>
      <c r="AW6" s="203" t="s">
        <v>123</v>
      </c>
      <c r="AY6" s="1" t="s">
        <v>500</v>
      </c>
      <c r="AZ6" s="1" t="s">
        <v>76</v>
      </c>
      <c r="BA6" s="100">
        <v>0.05</v>
      </c>
      <c r="BB6" s="101">
        <v>7.4999999999999997E-2</v>
      </c>
      <c r="BC6" s="100">
        <v>0.125</v>
      </c>
    </row>
    <row r="7" spans="2:55" ht="16" thickBot="1" x14ac:dyDescent="0.4">
      <c r="C7" s="22" t="s">
        <v>769</v>
      </c>
      <c r="D7" s="1" t="s">
        <v>507</v>
      </c>
      <c r="G7" s="44" t="s">
        <v>508</v>
      </c>
      <c r="L7" s="1" t="s">
        <v>421</v>
      </c>
      <c r="O7" s="44"/>
      <c r="P7" s="94"/>
      <c r="Q7" s="1" t="s">
        <v>509</v>
      </c>
      <c r="U7" s="1" t="s">
        <v>408</v>
      </c>
      <c r="V7" s="1" t="s">
        <v>407</v>
      </c>
      <c r="W7" s="1" t="s">
        <v>386</v>
      </c>
      <c r="AE7" s="1" t="s">
        <v>506</v>
      </c>
      <c r="AL7" s="1" t="s">
        <v>510</v>
      </c>
      <c r="AP7" s="38" t="s">
        <v>35</v>
      </c>
      <c r="AU7" s="1" t="s">
        <v>980</v>
      </c>
      <c r="AV7" s="1" t="s">
        <v>122</v>
      </c>
      <c r="AW7" s="203" t="s">
        <v>999</v>
      </c>
      <c r="AY7" s="1" t="s">
        <v>500</v>
      </c>
      <c r="AZ7" s="1" t="s">
        <v>78</v>
      </c>
      <c r="BA7" s="100">
        <v>0.05</v>
      </c>
      <c r="BB7" s="101">
        <v>7.4999999999999997E-2</v>
      </c>
      <c r="BC7" s="100">
        <v>0.125</v>
      </c>
    </row>
    <row r="8" spans="2:55" ht="16" thickBot="1" x14ac:dyDescent="0.4">
      <c r="B8" s="1" t="s">
        <v>511</v>
      </c>
      <c r="C8" s="22" t="s">
        <v>770</v>
      </c>
      <c r="D8" s="1" t="s">
        <v>512</v>
      </c>
      <c r="G8" s="1" t="s">
        <v>678</v>
      </c>
      <c r="L8" s="1" t="s">
        <v>422</v>
      </c>
      <c r="O8" s="44"/>
      <c r="P8" s="94"/>
      <c r="Q8" s="1" t="s">
        <v>90</v>
      </c>
      <c r="U8" s="1" t="s">
        <v>106</v>
      </c>
      <c r="V8" s="1" t="s">
        <v>408</v>
      </c>
      <c r="W8" s="1" t="s">
        <v>387</v>
      </c>
      <c r="AE8" s="1" t="s">
        <v>376</v>
      </c>
      <c r="AL8" s="10" t="s">
        <v>513</v>
      </c>
      <c r="AM8" s="10" t="s">
        <v>514</v>
      </c>
      <c r="AP8" s="38" t="s">
        <v>36</v>
      </c>
      <c r="AU8" s="1" t="s">
        <v>125</v>
      </c>
      <c r="AV8" s="1" t="s">
        <v>122</v>
      </c>
      <c r="AW8" s="203" t="s">
        <v>124</v>
      </c>
      <c r="AY8" s="1" t="s">
        <v>500</v>
      </c>
      <c r="AZ8" s="1" t="s">
        <v>317</v>
      </c>
      <c r="BA8" s="100">
        <v>0.05</v>
      </c>
      <c r="BB8" s="101">
        <v>7.4999999999999997E-2</v>
      </c>
      <c r="BC8" s="101">
        <v>0.125</v>
      </c>
    </row>
    <row r="9" spans="2:55" ht="16" thickBot="1" x14ac:dyDescent="0.4">
      <c r="B9" s="1" t="s">
        <v>75</v>
      </c>
      <c r="C9" s="22" t="s">
        <v>771</v>
      </c>
      <c r="D9" s="1" t="s">
        <v>515</v>
      </c>
      <c r="G9" s="1" t="s">
        <v>455</v>
      </c>
      <c r="L9" s="1" t="s">
        <v>423</v>
      </c>
      <c r="O9" s="44"/>
      <c r="P9" s="94"/>
      <c r="Q9" s="1" t="s">
        <v>516</v>
      </c>
      <c r="U9" s="1" t="s">
        <v>400</v>
      </c>
      <c r="V9" s="1" t="s">
        <v>106</v>
      </c>
      <c r="W9" s="1" t="s">
        <v>388</v>
      </c>
      <c r="AE9" s="1" t="s">
        <v>339</v>
      </c>
      <c r="AL9" s="1" t="s">
        <v>517</v>
      </c>
      <c r="AM9" s="1" t="s">
        <v>266</v>
      </c>
      <c r="AP9" s="38" t="s">
        <v>37</v>
      </c>
      <c r="AU9" s="1" t="s">
        <v>127</v>
      </c>
      <c r="AV9" s="1" t="s">
        <v>122</v>
      </c>
      <c r="AW9" s="203" t="s">
        <v>126</v>
      </c>
      <c r="AY9" s="1" t="s">
        <v>500</v>
      </c>
      <c r="AZ9" s="1" t="s">
        <v>99</v>
      </c>
      <c r="BA9" s="100">
        <v>0.05</v>
      </c>
      <c r="BB9" s="101">
        <v>7.4999999999999997E-2</v>
      </c>
      <c r="BC9" s="101">
        <v>0.125</v>
      </c>
    </row>
    <row r="10" spans="2:55" ht="16" thickBot="1" x14ac:dyDescent="0.4">
      <c r="C10" s="22" t="s">
        <v>772</v>
      </c>
      <c r="D10" s="1" t="s">
        <v>518</v>
      </c>
      <c r="G10" s="64" t="s">
        <v>519</v>
      </c>
      <c r="O10" s="94"/>
      <c r="P10" s="94"/>
      <c r="U10" s="1" t="s">
        <v>401</v>
      </c>
      <c r="V10" s="1" t="s">
        <v>400</v>
      </c>
      <c r="W10" s="1" t="s">
        <v>389</v>
      </c>
      <c r="AL10" s="1" t="s">
        <v>258</v>
      </c>
      <c r="AM10" s="1" t="s">
        <v>520</v>
      </c>
      <c r="AP10" s="38" t="s">
        <v>38</v>
      </c>
      <c r="AU10" s="1" t="s">
        <v>130</v>
      </c>
      <c r="AV10" s="1" t="s">
        <v>128</v>
      </c>
      <c r="AW10" s="203" t="s">
        <v>129</v>
      </c>
      <c r="AY10" s="1" t="s">
        <v>500</v>
      </c>
      <c r="AZ10" s="1" t="s">
        <v>273</v>
      </c>
      <c r="BA10" s="100">
        <v>0.05</v>
      </c>
      <c r="BB10" s="100">
        <v>7.4999999999999997E-2</v>
      </c>
      <c r="BC10" s="101">
        <v>0.125</v>
      </c>
    </row>
    <row r="11" spans="2:55" ht="16" thickBot="1" x14ac:dyDescent="0.4">
      <c r="B11" s="1" t="s">
        <v>521</v>
      </c>
      <c r="C11" s="22" t="s">
        <v>773</v>
      </c>
      <c r="O11" s="94"/>
      <c r="P11" s="94"/>
      <c r="U11" s="1" t="s">
        <v>403</v>
      </c>
      <c r="V11" s="1" t="s">
        <v>401</v>
      </c>
      <c r="W11" s="1" t="s">
        <v>390</v>
      </c>
      <c r="AL11" s="1" t="s">
        <v>522</v>
      </c>
      <c r="AM11" s="1" t="s">
        <v>523</v>
      </c>
      <c r="AP11" s="38" t="s">
        <v>39</v>
      </c>
      <c r="AU11" s="1" t="s">
        <v>131</v>
      </c>
      <c r="AV11" s="1" t="s">
        <v>128</v>
      </c>
      <c r="AW11" s="203" t="s">
        <v>1000</v>
      </c>
      <c r="AY11" s="1" t="s">
        <v>500</v>
      </c>
      <c r="AZ11" s="1" t="s">
        <v>275</v>
      </c>
      <c r="BA11" s="100">
        <v>0.05</v>
      </c>
      <c r="BB11" s="100">
        <v>0.1</v>
      </c>
      <c r="BC11" s="101">
        <v>0.15</v>
      </c>
    </row>
    <row r="12" spans="2:55" ht="16" thickBot="1" x14ac:dyDescent="0.4">
      <c r="B12" s="1" t="s">
        <v>75</v>
      </c>
      <c r="C12" s="22" t="s">
        <v>774</v>
      </c>
      <c r="G12" s="45" t="s">
        <v>524</v>
      </c>
      <c r="O12" s="94"/>
      <c r="P12" s="94"/>
      <c r="U12" s="1" t="s">
        <v>402</v>
      </c>
      <c r="V12" s="1" t="s">
        <v>403</v>
      </c>
      <c r="W12" s="1" t="s">
        <v>391</v>
      </c>
      <c r="AE12" s="10" t="s">
        <v>525</v>
      </c>
      <c r="AF12" s="10" t="s">
        <v>526</v>
      </c>
      <c r="AG12" s="10" t="s">
        <v>527</v>
      </c>
      <c r="AI12" s="10" t="s">
        <v>1003</v>
      </c>
      <c r="AJ12" s="10" t="s">
        <v>1004</v>
      </c>
      <c r="AL12" s="1" t="s">
        <v>528</v>
      </c>
      <c r="AP12" s="38" t="s">
        <v>40</v>
      </c>
      <c r="AU12" s="1" t="s">
        <v>133</v>
      </c>
      <c r="AV12" s="1" t="s">
        <v>128</v>
      </c>
      <c r="AW12" s="203" t="s">
        <v>132</v>
      </c>
      <c r="AY12" s="1" t="s">
        <v>500</v>
      </c>
      <c r="AZ12" s="1" t="s">
        <v>426</v>
      </c>
      <c r="BA12" s="100">
        <v>0.05</v>
      </c>
      <c r="BB12" s="100">
        <v>0.1</v>
      </c>
      <c r="BC12" s="101">
        <v>0.15</v>
      </c>
    </row>
    <row r="13" spans="2:55" ht="16" thickBot="1" x14ac:dyDescent="0.4">
      <c r="B13" s="1" t="s">
        <v>100</v>
      </c>
      <c r="C13" s="22" t="s">
        <v>775</v>
      </c>
      <c r="G13" s="1" t="s">
        <v>2</v>
      </c>
      <c r="O13" s="94"/>
      <c r="P13" s="94"/>
      <c r="Q13" s="23"/>
      <c r="S13" s="10" t="s">
        <v>529</v>
      </c>
      <c r="U13" s="1" t="s">
        <v>404</v>
      </c>
      <c r="V13" s="1" t="s">
        <v>402</v>
      </c>
      <c r="W13" s="1" t="s">
        <v>392</v>
      </c>
      <c r="AE13" s="1" t="s">
        <v>341</v>
      </c>
      <c r="AF13" s="1" t="s">
        <v>355</v>
      </c>
      <c r="AG13" s="1" t="s">
        <v>317</v>
      </c>
      <c r="AI13" s="1" t="s">
        <v>98</v>
      </c>
      <c r="AJ13" s="1" t="s">
        <v>317</v>
      </c>
      <c r="AL13" s="1" t="s">
        <v>530</v>
      </c>
      <c r="AP13" s="38" t="s">
        <v>41</v>
      </c>
      <c r="AU13" s="1" t="s">
        <v>135</v>
      </c>
      <c r="AV13" s="1" t="s">
        <v>128</v>
      </c>
      <c r="AW13" s="203" t="s">
        <v>134</v>
      </c>
      <c r="AY13" s="1" t="s">
        <v>500</v>
      </c>
      <c r="AZ13" s="1" t="s">
        <v>310</v>
      </c>
      <c r="BA13" s="100">
        <v>0.05</v>
      </c>
      <c r="BB13" s="100">
        <v>7.4999999999999997E-2</v>
      </c>
      <c r="BC13" s="101">
        <v>0.125</v>
      </c>
    </row>
    <row r="14" spans="2:55" ht="15" thickBot="1" x14ac:dyDescent="0.4">
      <c r="C14" s="22" t="s">
        <v>774</v>
      </c>
      <c r="G14" s="1" t="s">
        <v>531</v>
      </c>
      <c r="O14" s="10" t="s">
        <v>52</v>
      </c>
      <c r="P14" s="45" t="s">
        <v>84</v>
      </c>
      <c r="Q14" s="10" t="s">
        <v>532</v>
      </c>
      <c r="R14" s="10" t="s">
        <v>533</v>
      </c>
      <c r="S14" s="1" t="s">
        <v>333</v>
      </c>
      <c r="U14" s="1" t="s">
        <v>405</v>
      </c>
      <c r="V14" s="1" t="s">
        <v>404</v>
      </c>
      <c r="W14" s="1" t="s">
        <v>394</v>
      </c>
      <c r="AE14" s="1" t="s">
        <v>342</v>
      </c>
      <c r="AF14" s="1" t="s">
        <v>356</v>
      </c>
      <c r="AG14" s="1" t="s">
        <v>99</v>
      </c>
      <c r="AJ14" s="1" t="s">
        <v>99</v>
      </c>
      <c r="AL14" s="1" t="s">
        <v>534</v>
      </c>
      <c r="AP14" s="38" t="s">
        <v>42</v>
      </c>
      <c r="AU14" s="1" t="s">
        <v>137</v>
      </c>
      <c r="AV14" s="1" t="s">
        <v>128</v>
      </c>
      <c r="AW14" s="203" t="s">
        <v>136</v>
      </c>
      <c r="AY14" s="1" t="s">
        <v>500</v>
      </c>
      <c r="AZ14" s="1" t="s">
        <v>321</v>
      </c>
      <c r="BA14" s="100">
        <v>0.05</v>
      </c>
      <c r="BB14" s="101">
        <v>7.4999999999999997E-2</v>
      </c>
      <c r="BC14" s="100">
        <v>0.125</v>
      </c>
    </row>
    <row r="15" spans="2:55" ht="15" thickBot="1" x14ac:dyDescent="0.4">
      <c r="B15" s="1" t="s">
        <v>535</v>
      </c>
      <c r="C15" s="22" t="s">
        <v>776</v>
      </c>
      <c r="G15" s="1" t="s">
        <v>536</v>
      </c>
      <c r="O15" s="1" t="s">
        <v>70</v>
      </c>
      <c r="P15" s="1" t="s">
        <v>80</v>
      </c>
      <c r="Q15" s="1" t="s">
        <v>317</v>
      </c>
      <c r="R15" s="1" t="s">
        <v>98</v>
      </c>
      <c r="S15" s="10" t="s">
        <v>537</v>
      </c>
      <c r="U15" s="1" t="s">
        <v>406</v>
      </c>
      <c r="V15" s="1" t="s">
        <v>405</v>
      </c>
      <c r="W15" s="1" t="s">
        <v>395</v>
      </c>
      <c r="AF15" s="1" t="s">
        <v>357</v>
      </c>
      <c r="AG15" s="1" t="s">
        <v>351</v>
      </c>
      <c r="AJ15" s="1" t="s">
        <v>76</v>
      </c>
      <c r="AP15" s="38" t="s">
        <v>43</v>
      </c>
      <c r="AU15" s="1" t="s">
        <v>139</v>
      </c>
      <c r="AV15" s="1" t="s">
        <v>128</v>
      </c>
      <c r="AW15" s="203" t="s">
        <v>138</v>
      </c>
      <c r="AY15" s="1" t="s">
        <v>500</v>
      </c>
      <c r="AZ15" s="1" t="s">
        <v>324</v>
      </c>
      <c r="BA15" s="100">
        <v>0.05</v>
      </c>
      <c r="BB15" s="101">
        <v>7.4999999999999997E-2</v>
      </c>
      <c r="BC15" s="100">
        <v>0.125</v>
      </c>
    </row>
    <row r="16" spans="2:55" ht="15" thickBot="1" x14ac:dyDescent="0.4">
      <c r="B16" s="1" t="s">
        <v>100</v>
      </c>
      <c r="G16" s="1" t="s">
        <v>538</v>
      </c>
      <c r="O16" s="1" t="s">
        <v>80</v>
      </c>
      <c r="Q16" s="1" t="s">
        <v>99</v>
      </c>
      <c r="S16" s="1" t="s">
        <v>328</v>
      </c>
      <c r="U16" s="1" t="s">
        <v>384</v>
      </c>
      <c r="V16" s="1" t="s">
        <v>406</v>
      </c>
      <c r="W16" s="1" t="s">
        <v>396</v>
      </c>
      <c r="AF16" s="1" t="s">
        <v>98</v>
      </c>
      <c r="AG16" s="1" t="s">
        <v>352</v>
      </c>
      <c r="AJ16" s="1" t="s">
        <v>343</v>
      </c>
      <c r="AL16" s="10" t="s">
        <v>539</v>
      </c>
      <c r="AM16" s="10" t="s">
        <v>540</v>
      </c>
      <c r="AP16" s="38" t="s">
        <v>44</v>
      </c>
      <c r="AU16" s="1" t="s">
        <v>141</v>
      </c>
      <c r="AV16" s="1" t="s">
        <v>128</v>
      </c>
      <c r="AW16" s="203" t="s">
        <v>140</v>
      </c>
      <c r="AY16" s="1" t="s">
        <v>500</v>
      </c>
      <c r="AZ16" s="1" t="s">
        <v>350</v>
      </c>
      <c r="BA16" s="100">
        <v>0.05</v>
      </c>
      <c r="BB16" s="101">
        <v>7.4999999999999997E-2</v>
      </c>
      <c r="BC16" s="100">
        <v>0.125</v>
      </c>
    </row>
    <row r="17" spans="2:55" ht="15" thickBot="1" x14ac:dyDescent="0.4">
      <c r="G17" s="1" t="s">
        <v>541</v>
      </c>
      <c r="O17" s="1" t="s">
        <v>76</v>
      </c>
      <c r="Q17" s="1" t="s">
        <v>321</v>
      </c>
      <c r="S17" s="1" t="s">
        <v>329</v>
      </c>
      <c r="V17" s="1" t="s">
        <v>410</v>
      </c>
      <c r="W17" s="1" t="s">
        <v>399</v>
      </c>
      <c r="AG17" s="1" t="s">
        <v>343</v>
      </c>
      <c r="AJ17" s="1" t="s">
        <v>344</v>
      </c>
      <c r="AL17" s="1" t="s">
        <v>542</v>
      </c>
      <c r="AM17" s="1" t="s">
        <v>543</v>
      </c>
      <c r="AP17" s="38" t="s">
        <v>45</v>
      </c>
      <c r="AU17" s="1" t="s">
        <v>142</v>
      </c>
      <c r="AV17" s="1" t="s">
        <v>128</v>
      </c>
      <c r="AW17" s="203">
        <v>10.9</v>
      </c>
      <c r="AY17" s="1" t="s">
        <v>500</v>
      </c>
      <c r="AZ17" s="1" t="s">
        <v>339</v>
      </c>
      <c r="BA17" s="100">
        <v>0.05</v>
      </c>
      <c r="BB17" s="101">
        <v>7.4999999999999997E-2</v>
      </c>
      <c r="BC17" s="100">
        <v>0.125</v>
      </c>
    </row>
    <row r="18" spans="2:55" ht="15" thickBot="1" x14ac:dyDescent="0.4">
      <c r="B18" s="1" t="s">
        <v>544</v>
      </c>
      <c r="H18" s="13"/>
      <c r="O18" s="1" t="s">
        <v>82</v>
      </c>
      <c r="Q18" s="1" t="s">
        <v>324</v>
      </c>
      <c r="AG18" s="1" t="s">
        <v>353</v>
      </c>
      <c r="AL18" s="1" t="s">
        <v>545</v>
      </c>
      <c r="AM18" s="1" t="s">
        <v>546</v>
      </c>
      <c r="AP18" s="38" t="s">
        <v>46</v>
      </c>
      <c r="AU18" s="1" t="s">
        <v>144</v>
      </c>
      <c r="AV18" s="1" t="s">
        <v>128</v>
      </c>
      <c r="AW18" s="203" t="s">
        <v>143</v>
      </c>
      <c r="AY18" s="1" t="s">
        <v>500</v>
      </c>
      <c r="AZ18" s="1" t="s">
        <v>345</v>
      </c>
      <c r="BA18" s="100">
        <v>0.05</v>
      </c>
      <c r="BB18" s="101">
        <v>7.4999999999999997E-2</v>
      </c>
      <c r="BC18" s="100">
        <v>0.125</v>
      </c>
    </row>
    <row r="19" spans="2:55" ht="15" thickBot="1" x14ac:dyDescent="0.4">
      <c r="B19" s="1" t="s">
        <v>100</v>
      </c>
      <c r="G19" s="10" t="s">
        <v>0</v>
      </c>
      <c r="O19" s="1" t="s">
        <v>78</v>
      </c>
      <c r="P19" s="10"/>
      <c r="Q19" s="1" t="s">
        <v>78</v>
      </c>
      <c r="S19" s="10" t="s">
        <v>331</v>
      </c>
      <c r="W19" s="10"/>
      <c r="X19" s="10"/>
      <c r="AL19" s="1" t="s">
        <v>547</v>
      </c>
      <c r="AM19" s="1" t="s">
        <v>548</v>
      </c>
      <c r="AP19" s="38" t="s">
        <v>47</v>
      </c>
      <c r="AU19" s="1" t="s">
        <v>145</v>
      </c>
      <c r="AV19" s="1" t="s">
        <v>128</v>
      </c>
      <c r="AW19" s="203">
        <v>11.07</v>
      </c>
      <c r="AY19" s="1" t="s">
        <v>500</v>
      </c>
      <c r="AZ19" s="1" t="s">
        <v>80</v>
      </c>
      <c r="BA19" s="100">
        <v>2.5000000000000001E-2</v>
      </c>
      <c r="BB19" s="101">
        <v>0.05</v>
      </c>
      <c r="BC19" s="100">
        <v>0.1</v>
      </c>
    </row>
    <row r="20" spans="2:55" ht="15" thickBot="1" x14ac:dyDescent="0.4">
      <c r="B20" s="1" t="s">
        <v>72</v>
      </c>
      <c r="G20" s="44" t="s">
        <v>616</v>
      </c>
      <c r="O20" s="1" t="s">
        <v>273</v>
      </c>
      <c r="Q20" s="1" t="s">
        <v>76</v>
      </c>
      <c r="S20" s="1" t="s">
        <v>332</v>
      </c>
      <c r="V20" s="10"/>
      <c r="AE20" s="10" t="s">
        <v>550</v>
      </c>
      <c r="AF20" s="10" t="s">
        <v>551</v>
      </c>
      <c r="AG20" s="10" t="s">
        <v>552</v>
      </c>
      <c r="AM20" s="1" t="s">
        <v>553</v>
      </c>
      <c r="AP20" s="38" t="s">
        <v>48</v>
      </c>
      <c r="AU20" s="1" t="s">
        <v>146</v>
      </c>
      <c r="AV20" s="1" t="s">
        <v>128</v>
      </c>
      <c r="AW20" s="203">
        <v>12</v>
      </c>
      <c r="AY20" s="1" t="s">
        <v>544</v>
      </c>
      <c r="AZ20" s="1" t="s">
        <v>358</v>
      </c>
      <c r="BA20" s="100">
        <v>7.4999999999999997E-2</v>
      </c>
      <c r="BB20" s="101">
        <v>0.125</v>
      </c>
      <c r="BC20" s="100"/>
    </row>
    <row r="21" spans="2:55" ht="15" thickBot="1" x14ac:dyDescent="0.4">
      <c r="G21" s="44" t="s">
        <v>785</v>
      </c>
      <c r="O21" s="1" t="s">
        <v>426</v>
      </c>
      <c r="Q21" s="1" t="s">
        <v>80</v>
      </c>
      <c r="S21" s="1" t="s">
        <v>334</v>
      </c>
      <c r="AE21" s="1" t="s">
        <v>341</v>
      </c>
      <c r="AF21" s="1" t="s">
        <v>355</v>
      </c>
      <c r="AG21" s="1" t="s">
        <v>317</v>
      </c>
      <c r="AL21" s="10" t="s">
        <v>780</v>
      </c>
      <c r="AM21" s="1" t="s">
        <v>555</v>
      </c>
      <c r="AP21" s="38" t="s">
        <v>49</v>
      </c>
      <c r="AU21" s="1" t="s">
        <v>981</v>
      </c>
      <c r="AV21" s="1" t="s">
        <v>128</v>
      </c>
      <c r="AW21" s="203">
        <v>13</v>
      </c>
      <c r="AY21" s="1" t="s">
        <v>544</v>
      </c>
      <c r="AZ21" s="1" t="s">
        <v>354</v>
      </c>
      <c r="BA21" s="100">
        <v>7.4999999999999997E-2</v>
      </c>
      <c r="BB21" s="101">
        <v>0.125</v>
      </c>
      <c r="BC21" s="100"/>
    </row>
    <row r="22" spans="2:55" ht="15" thickBot="1" x14ac:dyDescent="0.4">
      <c r="B22" s="1" t="s">
        <v>556</v>
      </c>
      <c r="G22" s="44" t="s">
        <v>666</v>
      </c>
      <c r="O22" s="1" t="s">
        <v>275</v>
      </c>
      <c r="S22" s="1" t="s">
        <v>335</v>
      </c>
      <c r="W22" s="10"/>
      <c r="X22" s="10"/>
      <c r="AE22" s="1" t="s">
        <v>342</v>
      </c>
      <c r="AF22" s="1" t="s">
        <v>356</v>
      </c>
      <c r="AG22" s="1" t="s">
        <v>99</v>
      </c>
      <c r="AL22" s="1" t="s">
        <v>261</v>
      </c>
      <c r="AP22" s="38" t="s">
        <v>50</v>
      </c>
      <c r="AU22" s="1" t="s">
        <v>147</v>
      </c>
      <c r="AV22" s="1" t="s">
        <v>128</v>
      </c>
      <c r="AW22" s="203">
        <v>14</v>
      </c>
      <c r="AY22" s="1" t="s">
        <v>544</v>
      </c>
      <c r="AZ22" s="1" t="s">
        <v>376</v>
      </c>
      <c r="BA22" s="100">
        <v>7.4999999999999997E-2</v>
      </c>
      <c r="BB22" s="101">
        <v>0.125</v>
      </c>
      <c r="BC22" s="100"/>
    </row>
    <row r="23" spans="2:55" ht="15" thickBot="1" x14ac:dyDescent="0.4">
      <c r="B23" s="1" t="s">
        <v>72</v>
      </c>
      <c r="G23" s="44" t="s">
        <v>650</v>
      </c>
      <c r="O23" s="1" t="s">
        <v>310</v>
      </c>
      <c r="P23" s="44"/>
      <c r="Q23" s="10" t="s">
        <v>558</v>
      </c>
      <c r="R23" s="10" t="s">
        <v>559</v>
      </c>
      <c r="S23" s="1" t="s">
        <v>336</v>
      </c>
      <c r="W23" s="10"/>
      <c r="X23" s="10"/>
      <c r="AF23" s="1" t="s">
        <v>357</v>
      </c>
      <c r="AG23" s="1" t="s">
        <v>351</v>
      </c>
      <c r="AL23" s="1" t="s">
        <v>560</v>
      </c>
      <c r="AP23" s="38" t="s">
        <v>51</v>
      </c>
      <c r="AU23" s="1" t="s">
        <v>982</v>
      </c>
      <c r="AV23" s="1" t="s">
        <v>128</v>
      </c>
      <c r="AW23" s="203">
        <v>15</v>
      </c>
      <c r="AY23" s="1" t="s">
        <v>544</v>
      </c>
      <c r="AZ23" s="1" t="s">
        <v>97</v>
      </c>
      <c r="BA23" s="100">
        <v>7.4999999999999997E-2</v>
      </c>
      <c r="BB23" s="101">
        <v>0.125</v>
      </c>
      <c r="BC23" s="100"/>
    </row>
    <row r="24" spans="2:55" x14ac:dyDescent="0.35">
      <c r="G24" s="44" t="s">
        <v>787</v>
      </c>
      <c r="O24" s="10" t="s">
        <v>562</v>
      </c>
      <c r="P24" s="44"/>
      <c r="Q24" s="1" t="s">
        <v>317</v>
      </c>
      <c r="R24" s="1" t="s">
        <v>98</v>
      </c>
      <c r="S24" s="1" t="s">
        <v>337</v>
      </c>
      <c r="U24" s="10" t="s">
        <v>101</v>
      </c>
      <c r="V24" s="10" t="s">
        <v>563</v>
      </c>
      <c r="W24" s="13"/>
      <c r="AF24" s="1" t="s">
        <v>98</v>
      </c>
      <c r="AG24" s="1" t="s">
        <v>352</v>
      </c>
      <c r="AU24" s="1" t="s">
        <v>983</v>
      </c>
      <c r="AV24" s="1" t="s">
        <v>128</v>
      </c>
      <c r="AW24" s="203">
        <v>16</v>
      </c>
      <c r="AY24" s="1" t="s">
        <v>544</v>
      </c>
      <c r="AZ24" s="1" t="s">
        <v>506</v>
      </c>
      <c r="BA24" s="100">
        <v>0.1</v>
      </c>
      <c r="BB24" s="101">
        <v>0.15</v>
      </c>
      <c r="BC24" s="100"/>
    </row>
    <row r="25" spans="2:55" ht="15" thickBot="1" x14ac:dyDescent="0.4">
      <c r="G25" s="44" t="s">
        <v>615</v>
      </c>
      <c r="O25" s="1" t="s">
        <v>70</v>
      </c>
      <c r="P25" s="44"/>
      <c r="Q25" s="1" t="s">
        <v>99</v>
      </c>
      <c r="S25" s="1" t="s">
        <v>338</v>
      </c>
      <c r="U25" s="1" t="s">
        <v>382</v>
      </c>
      <c r="V25" s="5" t="s">
        <v>107</v>
      </c>
      <c r="W25" s="5" t="s">
        <v>104</v>
      </c>
      <c r="X25" s="5"/>
      <c r="Y25" s="5"/>
      <c r="Z25" s="5"/>
      <c r="AG25" s="1" t="s">
        <v>343</v>
      </c>
      <c r="AL25" s="10" t="s">
        <v>781</v>
      </c>
      <c r="AP25" s="13" t="s">
        <v>115</v>
      </c>
      <c r="AQ25" s="13"/>
      <c r="AR25" s="13"/>
      <c r="AS25" s="13"/>
      <c r="AU25" s="1" t="s">
        <v>148</v>
      </c>
      <c r="AV25" s="1" t="s">
        <v>128</v>
      </c>
      <c r="AW25" s="203">
        <v>17</v>
      </c>
      <c r="AY25" s="1" t="s">
        <v>544</v>
      </c>
      <c r="AZ25" s="1" t="s">
        <v>16</v>
      </c>
      <c r="BA25" s="100">
        <v>0.125</v>
      </c>
      <c r="BB25" s="101">
        <v>0.15</v>
      </c>
      <c r="BC25" s="100"/>
    </row>
    <row r="26" spans="2:55" ht="15" thickBot="1" x14ac:dyDescent="0.4">
      <c r="B26" s="10" t="s">
        <v>779</v>
      </c>
      <c r="G26" s="44" t="s">
        <v>655</v>
      </c>
      <c r="O26" s="1" t="s">
        <v>566</v>
      </c>
      <c r="P26" s="44"/>
      <c r="Q26" s="1" t="s">
        <v>321</v>
      </c>
      <c r="U26" s="1" t="s">
        <v>416</v>
      </c>
      <c r="V26" s="5" t="s">
        <v>414</v>
      </c>
      <c r="W26" s="5"/>
      <c r="X26" s="5"/>
      <c r="Y26" s="5"/>
      <c r="Z26" s="5"/>
      <c r="AG26" s="1" t="s">
        <v>353</v>
      </c>
      <c r="AL26" s="1" t="s">
        <v>261</v>
      </c>
      <c r="AP26" s="13" t="s">
        <v>117</v>
      </c>
      <c r="AQ26" s="13"/>
      <c r="AR26" s="13"/>
      <c r="AS26" s="13"/>
      <c r="AU26" s="1" t="s">
        <v>149</v>
      </c>
      <c r="AV26" s="1" t="s">
        <v>128</v>
      </c>
      <c r="AW26" s="203">
        <v>18</v>
      </c>
      <c r="AY26" s="1" t="s">
        <v>535</v>
      </c>
      <c r="AZ26" s="1" t="s">
        <v>17</v>
      </c>
      <c r="BA26" s="100"/>
      <c r="BB26" s="101">
        <v>0.2</v>
      </c>
      <c r="BC26" s="100"/>
    </row>
    <row r="27" spans="2:55" ht="15" thickBot="1" x14ac:dyDescent="0.4">
      <c r="B27" s="112">
        <v>0.2</v>
      </c>
      <c r="G27" s="44" t="s">
        <v>549</v>
      </c>
      <c r="O27" s="1" t="s">
        <v>317</v>
      </c>
      <c r="P27" s="44"/>
      <c r="Q27" s="1" t="s">
        <v>324</v>
      </c>
      <c r="S27" s="10" t="s">
        <v>568</v>
      </c>
      <c r="U27" s="1" t="s">
        <v>385</v>
      </c>
      <c r="V27" s="5" t="s">
        <v>104</v>
      </c>
      <c r="W27" s="5"/>
      <c r="X27" s="5"/>
      <c r="Y27" s="5"/>
      <c r="Z27" s="5"/>
      <c r="AL27" s="1" t="s">
        <v>560</v>
      </c>
      <c r="AP27" s="13" t="s">
        <v>119</v>
      </c>
      <c r="AQ27" s="13"/>
      <c r="AR27" s="13"/>
      <c r="AS27" s="13"/>
      <c r="AU27" s="1" t="s">
        <v>150</v>
      </c>
      <c r="AV27" s="1" t="s">
        <v>128</v>
      </c>
      <c r="AW27" s="203">
        <v>19</v>
      </c>
      <c r="AZ27" s="1" t="s">
        <v>19</v>
      </c>
      <c r="BA27" s="112">
        <v>0.05</v>
      </c>
      <c r="BB27" s="112">
        <v>0.1</v>
      </c>
      <c r="BC27" s="112">
        <v>0.15</v>
      </c>
    </row>
    <row r="28" spans="2:55" ht="15" thickBot="1" x14ac:dyDescent="0.4">
      <c r="B28" s="112">
        <v>0.15</v>
      </c>
      <c r="G28" s="44" t="s">
        <v>670</v>
      </c>
      <c r="O28" s="1" t="s">
        <v>78</v>
      </c>
      <c r="P28" s="44"/>
      <c r="Q28" s="1" t="s">
        <v>78</v>
      </c>
      <c r="S28" s="1" t="s">
        <v>330</v>
      </c>
      <c r="U28" s="1" t="s">
        <v>386</v>
      </c>
      <c r="V28" s="5" t="s">
        <v>107</v>
      </c>
      <c r="W28" s="5" t="s">
        <v>104</v>
      </c>
      <c r="X28" s="5"/>
      <c r="Y28" s="5"/>
      <c r="Z28" s="5"/>
      <c r="AE28" s="10" t="s">
        <v>570</v>
      </c>
      <c r="AF28" s="10" t="s">
        <v>571</v>
      </c>
      <c r="AG28" s="10" t="s">
        <v>572</v>
      </c>
      <c r="AP28" s="13" t="s">
        <v>121</v>
      </c>
      <c r="AQ28" s="13"/>
      <c r="AR28" s="13"/>
      <c r="AS28" s="13"/>
      <c r="AU28" s="1" t="s">
        <v>154</v>
      </c>
      <c r="AV28" s="1" t="s">
        <v>128</v>
      </c>
      <c r="AW28" s="203">
        <v>20.3</v>
      </c>
      <c r="AZ28" s="1" t="s">
        <v>20</v>
      </c>
      <c r="BA28" s="112">
        <v>0.05</v>
      </c>
      <c r="BB28" s="112">
        <v>0.1</v>
      </c>
      <c r="BC28" s="112">
        <v>0.15</v>
      </c>
    </row>
    <row r="29" spans="2:55" ht="15" thickBot="1" x14ac:dyDescent="0.4">
      <c r="B29" s="112">
        <v>0.1</v>
      </c>
      <c r="G29" s="44" t="s">
        <v>554</v>
      </c>
      <c r="O29" s="1" t="s">
        <v>82</v>
      </c>
      <c r="P29" s="44"/>
      <c r="Q29" s="1" t="s">
        <v>76</v>
      </c>
      <c r="S29" s="1" t="s">
        <v>327</v>
      </c>
      <c r="U29" s="1" t="s">
        <v>384</v>
      </c>
      <c r="V29" s="5" t="s">
        <v>107</v>
      </c>
      <c r="W29" s="5"/>
      <c r="X29" s="5"/>
      <c r="Y29" s="5"/>
      <c r="Z29" s="5"/>
      <c r="AE29" s="1" t="s">
        <v>341</v>
      </c>
      <c r="AF29" s="1" t="s">
        <v>355</v>
      </c>
      <c r="AG29" s="1" t="s">
        <v>99</v>
      </c>
      <c r="AU29" s="1" t="s">
        <v>155</v>
      </c>
      <c r="AV29" s="1" t="s">
        <v>128</v>
      </c>
      <c r="AW29" s="203">
        <v>20.399999999999999</v>
      </c>
      <c r="AZ29" s="1" t="s">
        <v>21</v>
      </c>
      <c r="BA29" s="112">
        <v>0.05</v>
      </c>
      <c r="BB29" s="112">
        <v>0.1</v>
      </c>
      <c r="BC29" s="112">
        <v>0.15</v>
      </c>
    </row>
    <row r="30" spans="2:55" ht="15" thickBot="1" x14ac:dyDescent="0.4">
      <c r="G30" s="44" t="s">
        <v>675</v>
      </c>
      <c r="P30" s="44"/>
      <c r="Q30" s="1" t="s">
        <v>80</v>
      </c>
      <c r="R30" s="10" t="s">
        <v>577</v>
      </c>
      <c r="S30" s="10"/>
      <c r="U30" s="1" t="s">
        <v>405</v>
      </c>
      <c r="V30" s="5" t="s">
        <v>107</v>
      </c>
      <c r="W30" s="5" t="s">
        <v>104</v>
      </c>
      <c r="X30" s="5"/>
      <c r="Y30" s="5"/>
      <c r="Z30" s="5"/>
      <c r="AE30" s="1" t="s">
        <v>342</v>
      </c>
      <c r="AF30" s="1" t="s">
        <v>356</v>
      </c>
      <c r="AU30" s="1" t="s">
        <v>984</v>
      </c>
      <c r="AV30" s="1" t="s">
        <v>128</v>
      </c>
      <c r="AW30" s="203">
        <v>20.5</v>
      </c>
      <c r="AY30" s="1" t="s">
        <v>511</v>
      </c>
      <c r="AZ30" s="1" t="s">
        <v>331</v>
      </c>
      <c r="BA30" s="112"/>
      <c r="BB30" s="112"/>
      <c r="BC30" s="112">
        <v>0.2</v>
      </c>
    </row>
    <row r="31" spans="2:55" ht="15" thickBot="1" x14ac:dyDescent="0.4">
      <c r="G31" s="44" t="s">
        <v>656</v>
      </c>
      <c r="O31" s="10"/>
      <c r="P31" s="45"/>
      <c r="R31" s="1" t="s">
        <v>346</v>
      </c>
      <c r="U31" s="1" t="s">
        <v>387</v>
      </c>
      <c r="V31" s="5" t="s">
        <v>107</v>
      </c>
      <c r="W31" s="5" t="s">
        <v>104</v>
      </c>
      <c r="X31" s="5"/>
      <c r="Y31" s="5"/>
      <c r="Z31" s="5"/>
      <c r="AF31" s="1" t="s">
        <v>357</v>
      </c>
      <c r="AU31" s="1" t="s">
        <v>573</v>
      </c>
      <c r="AV31" s="1" t="s">
        <v>128</v>
      </c>
      <c r="AW31" s="203" t="s">
        <v>151</v>
      </c>
      <c r="AY31" s="1" t="s">
        <v>511</v>
      </c>
      <c r="AZ31" s="1" t="s">
        <v>579</v>
      </c>
      <c r="BC31" s="112">
        <v>0.2</v>
      </c>
    </row>
    <row r="32" spans="2:55" ht="15" thickBot="1" x14ac:dyDescent="0.4">
      <c r="G32" s="44" t="s">
        <v>557</v>
      </c>
      <c r="O32" s="10" t="s">
        <v>581</v>
      </c>
      <c r="P32" s="45" t="s">
        <v>582</v>
      </c>
      <c r="Q32" s="10" t="s">
        <v>583</v>
      </c>
      <c r="R32" s="1" t="s">
        <v>348</v>
      </c>
      <c r="U32" s="1" t="s">
        <v>413</v>
      </c>
      <c r="V32" s="5" t="s">
        <v>414</v>
      </c>
      <c r="W32" s="5"/>
      <c r="X32" s="5"/>
      <c r="Y32" s="5"/>
      <c r="Z32" s="5"/>
      <c r="AF32" s="1" t="s">
        <v>98</v>
      </c>
      <c r="AU32" s="1" t="s">
        <v>575</v>
      </c>
      <c r="AV32" s="1" t="s">
        <v>128</v>
      </c>
      <c r="AW32" s="203" t="s">
        <v>152</v>
      </c>
      <c r="AY32" s="1" t="s">
        <v>500</v>
      </c>
      <c r="AZ32" s="64" t="s">
        <v>257</v>
      </c>
      <c r="BA32" s="138">
        <v>0.05</v>
      </c>
      <c r="BB32" s="138">
        <v>0.1</v>
      </c>
      <c r="BC32" s="138">
        <v>0.15</v>
      </c>
    </row>
    <row r="33" spans="4:55" ht="15" thickBot="1" x14ac:dyDescent="0.4">
      <c r="G33" s="44" t="s">
        <v>609</v>
      </c>
      <c r="O33" s="1" t="s">
        <v>73</v>
      </c>
      <c r="P33" s="44" t="s">
        <v>71</v>
      </c>
      <c r="Q33" s="1" t="s">
        <v>317</v>
      </c>
      <c r="R33" s="1" t="s">
        <v>349</v>
      </c>
      <c r="U33" s="1" t="s">
        <v>406</v>
      </c>
      <c r="V33" s="5" t="s">
        <v>107</v>
      </c>
      <c r="W33" s="5" t="s">
        <v>393</v>
      </c>
      <c r="X33" s="5" t="s">
        <v>104</v>
      </c>
      <c r="Y33" s="5"/>
      <c r="Z33" s="5"/>
      <c r="AU33" s="1" t="s">
        <v>578</v>
      </c>
      <c r="AV33" s="1" t="s">
        <v>128</v>
      </c>
      <c r="AW33" s="203" t="s">
        <v>153</v>
      </c>
      <c r="AY33" s="1" t="s">
        <v>500</v>
      </c>
      <c r="AZ33" s="64" t="s">
        <v>259</v>
      </c>
      <c r="BA33" s="138">
        <v>2.5000000000000001E-2</v>
      </c>
      <c r="BB33" s="138">
        <v>0.05</v>
      </c>
      <c r="BC33" s="138">
        <v>0.1</v>
      </c>
    </row>
    <row r="34" spans="4:55" ht="15" thickBot="1" x14ac:dyDescent="0.4">
      <c r="G34" s="44" t="s">
        <v>614</v>
      </c>
      <c r="O34" s="1" t="s">
        <v>299</v>
      </c>
      <c r="P34" s="45"/>
      <c r="Q34" s="1" t="s">
        <v>321</v>
      </c>
      <c r="U34" s="1" t="s">
        <v>399</v>
      </c>
      <c r="V34" s="5" t="s">
        <v>107</v>
      </c>
      <c r="W34" s="5" t="s">
        <v>393</v>
      </c>
      <c r="X34" s="5" t="s">
        <v>104</v>
      </c>
      <c r="Y34" s="5"/>
      <c r="Z34" s="204"/>
      <c r="AE34" s="10" t="s">
        <v>586</v>
      </c>
      <c r="AF34" s="10" t="s">
        <v>587</v>
      </c>
      <c r="AG34" s="10" t="s">
        <v>588</v>
      </c>
      <c r="AH34" s="10" t="s">
        <v>589</v>
      </c>
      <c r="AI34" s="10" t="s">
        <v>590</v>
      </c>
      <c r="AJ34" s="10" t="s">
        <v>591</v>
      </c>
      <c r="AU34" s="1" t="s">
        <v>156</v>
      </c>
      <c r="AV34" s="1" t="s">
        <v>128</v>
      </c>
      <c r="AW34" s="203">
        <v>21</v>
      </c>
      <c r="AY34" s="1" t="s">
        <v>500</v>
      </c>
      <c r="AZ34" s="1" t="s">
        <v>510</v>
      </c>
      <c r="BA34" s="138">
        <v>0.05</v>
      </c>
      <c r="BB34" s="138">
        <v>0.1</v>
      </c>
      <c r="BC34" s="138">
        <v>0.15</v>
      </c>
    </row>
    <row r="35" spans="4:55" ht="15" thickBot="1" x14ac:dyDescent="0.4">
      <c r="G35" s="44" t="s">
        <v>640</v>
      </c>
      <c r="P35" s="44"/>
      <c r="Q35" s="10" t="s">
        <v>593</v>
      </c>
      <c r="U35" s="1" t="s">
        <v>388</v>
      </c>
      <c r="V35" s="5" t="s">
        <v>107</v>
      </c>
      <c r="W35" s="5" t="s">
        <v>104</v>
      </c>
      <c r="X35" s="5"/>
      <c r="Y35" s="5"/>
      <c r="Z35" s="5"/>
      <c r="AE35" s="1" t="s">
        <v>362</v>
      </c>
      <c r="AF35" s="1" t="s">
        <v>360</v>
      </c>
      <c r="AG35" s="1" t="s">
        <v>361</v>
      </c>
      <c r="AH35" s="1" t="s">
        <v>366</v>
      </c>
      <c r="AI35" s="1" t="s">
        <v>369</v>
      </c>
      <c r="AJ35" s="1" t="s">
        <v>374</v>
      </c>
      <c r="AU35" s="1" t="s">
        <v>157</v>
      </c>
      <c r="AV35" s="1" t="s">
        <v>128</v>
      </c>
      <c r="AW35" s="203">
        <v>22</v>
      </c>
      <c r="AY35" s="1" t="s">
        <v>500</v>
      </c>
      <c r="AZ35" s="1" t="s">
        <v>260</v>
      </c>
      <c r="BA35" s="138">
        <v>2.5000000000000001E-2</v>
      </c>
      <c r="BB35" s="138">
        <v>0.05</v>
      </c>
      <c r="BC35" s="138">
        <v>0.1</v>
      </c>
    </row>
    <row r="36" spans="4:55" ht="15" customHeight="1" thickBot="1" x14ac:dyDescent="0.4">
      <c r="G36" s="44" t="s">
        <v>561</v>
      </c>
      <c r="O36" s="10" t="s">
        <v>595</v>
      </c>
      <c r="P36" s="45" t="s">
        <v>596</v>
      </c>
      <c r="Q36" s="1" t="s">
        <v>317</v>
      </c>
      <c r="R36" s="10" t="s">
        <v>597</v>
      </c>
      <c r="S36" s="10"/>
      <c r="U36" s="1" t="s">
        <v>103</v>
      </c>
      <c r="V36" s="5" t="s">
        <v>104</v>
      </c>
      <c r="W36" s="5" t="s">
        <v>393</v>
      </c>
      <c r="X36" s="5"/>
      <c r="Y36" s="5"/>
      <c r="Z36" s="5"/>
      <c r="AE36" s="1" t="s">
        <v>363</v>
      </c>
      <c r="AF36" s="1" t="s">
        <v>365</v>
      </c>
      <c r="AG36" s="1" t="s">
        <v>364</v>
      </c>
      <c r="AH36" s="1" t="s">
        <v>367</v>
      </c>
      <c r="AI36" s="1" t="s">
        <v>370</v>
      </c>
      <c r="AJ36" s="1" t="s">
        <v>375</v>
      </c>
      <c r="AU36" s="1" t="s">
        <v>985</v>
      </c>
      <c r="AV36" s="1" t="s">
        <v>128</v>
      </c>
      <c r="AW36" s="203" t="s">
        <v>159</v>
      </c>
      <c r="AY36" s="1" t="s">
        <v>556</v>
      </c>
      <c r="AZ36" s="1" t="s">
        <v>265</v>
      </c>
      <c r="BA36" s="138">
        <v>0.05</v>
      </c>
    </row>
    <row r="37" spans="4:55" ht="16" customHeight="1" thickBot="1" x14ac:dyDescent="0.4">
      <c r="G37" s="44" t="s">
        <v>634</v>
      </c>
      <c r="O37" s="1" t="s">
        <v>73</v>
      </c>
      <c r="P37" s="44" t="s">
        <v>77</v>
      </c>
      <c r="Q37" s="1" t="s">
        <v>99</v>
      </c>
      <c r="R37" s="1" t="s">
        <v>317</v>
      </c>
      <c r="U37" s="1" t="s">
        <v>411</v>
      </c>
      <c r="V37" s="5" t="s">
        <v>412</v>
      </c>
      <c r="W37" s="5"/>
      <c r="X37" s="5"/>
      <c r="Y37" s="5"/>
      <c r="Z37" s="5"/>
      <c r="AF37" s="1" t="s">
        <v>368</v>
      </c>
      <c r="AI37" s="1" t="s">
        <v>371</v>
      </c>
      <c r="AU37" s="1" t="s">
        <v>598</v>
      </c>
      <c r="AV37" s="1" t="s">
        <v>128</v>
      </c>
      <c r="AW37" s="203" t="s">
        <v>158</v>
      </c>
      <c r="AY37" s="1" t="s">
        <v>556</v>
      </c>
      <c r="AZ37" s="1" t="s">
        <v>267</v>
      </c>
      <c r="BA37" s="138">
        <v>2.5000000000000001E-2</v>
      </c>
    </row>
    <row r="38" spans="4:55" ht="15" thickBot="1" x14ac:dyDescent="0.4">
      <c r="G38" s="44" t="s">
        <v>564</v>
      </c>
      <c r="O38" s="1" t="s">
        <v>301</v>
      </c>
      <c r="P38" s="44"/>
      <c r="Q38" s="1" t="s">
        <v>321</v>
      </c>
      <c r="R38" s="1" t="s">
        <v>99</v>
      </c>
      <c r="U38" s="1" t="s">
        <v>389</v>
      </c>
      <c r="V38" s="5" t="s">
        <v>107</v>
      </c>
      <c r="W38" s="5" t="s">
        <v>104</v>
      </c>
      <c r="X38" s="5"/>
      <c r="Y38" s="5"/>
      <c r="Z38" s="5"/>
      <c r="AF38" s="1" t="s">
        <v>373</v>
      </c>
      <c r="AI38" s="1" t="s">
        <v>372</v>
      </c>
      <c r="AU38" s="1" t="s">
        <v>161</v>
      </c>
      <c r="AV38" s="1" t="s">
        <v>128</v>
      </c>
      <c r="AW38" s="203" t="s">
        <v>160</v>
      </c>
      <c r="AY38" s="1" t="s">
        <v>556</v>
      </c>
      <c r="AZ38" s="1" t="s">
        <v>965</v>
      </c>
      <c r="BA38" s="112">
        <v>0.1</v>
      </c>
    </row>
    <row r="39" spans="4:55" ht="15" thickBot="1" x14ac:dyDescent="0.4">
      <c r="D39" s="13"/>
      <c r="G39" s="44" t="s">
        <v>567</v>
      </c>
      <c r="P39" s="44"/>
      <c r="Q39" s="1" t="s">
        <v>324</v>
      </c>
      <c r="R39" s="1" t="s">
        <v>351</v>
      </c>
      <c r="U39" s="1" t="s">
        <v>415</v>
      </c>
      <c r="V39" s="5" t="s">
        <v>414</v>
      </c>
      <c r="W39" s="5"/>
      <c r="X39" s="5"/>
      <c r="Y39" s="5"/>
      <c r="Z39" s="5"/>
      <c r="AU39" s="1" t="s">
        <v>163</v>
      </c>
      <c r="AV39" s="1" t="s">
        <v>128</v>
      </c>
      <c r="AW39" s="203" t="s">
        <v>162</v>
      </c>
      <c r="AY39" s="1" t="s">
        <v>556</v>
      </c>
      <c r="AZ39" s="1" t="s">
        <v>960</v>
      </c>
      <c r="BA39" s="138">
        <v>0.1</v>
      </c>
    </row>
    <row r="40" spans="4:55" ht="15" thickBot="1" x14ac:dyDescent="0.4">
      <c r="D40" s="13"/>
      <c r="G40" s="44" t="s">
        <v>657</v>
      </c>
      <c r="P40" s="44"/>
      <c r="Q40" s="1" t="s">
        <v>78</v>
      </c>
      <c r="R40" s="1" t="s">
        <v>352</v>
      </c>
      <c r="U40" s="1" t="s">
        <v>417</v>
      </c>
      <c r="V40" s="5" t="s">
        <v>414</v>
      </c>
      <c r="W40" s="5"/>
      <c r="X40" s="5"/>
      <c r="Y40" s="5"/>
      <c r="Z40" s="5"/>
      <c r="AU40" s="1" t="s">
        <v>165</v>
      </c>
      <c r="AV40" s="1" t="s">
        <v>128</v>
      </c>
      <c r="AW40" s="203">
        <v>25.4</v>
      </c>
    </row>
    <row r="41" spans="4:55" ht="15" thickBot="1" x14ac:dyDescent="0.4">
      <c r="G41" s="44" t="s">
        <v>576</v>
      </c>
      <c r="O41" s="10" t="s">
        <v>605</v>
      </c>
      <c r="P41" s="45" t="s">
        <v>606</v>
      </c>
      <c r="Q41" s="1" t="s">
        <v>76</v>
      </c>
      <c r="R41" s="1" t="s">
        <v>343</v>
      </c>
      <c r="U41" s="1" t="s">
        <v>390</v>
      </c>
      <c r="V41" s="5" t="s">
        <v>107</v>
      </c>
      <c r="W41" s="5" t="s">
        <v>104</v>
      </c>
      <c r="X41" s="5"/>
      <c r="Y41" s="5"/>
      <c r="Z41" s="5"/>
      <c r="AU41" s="1" t="s">
        <v>603</v>
      </c>
      <c r="AV41" s="1" t="s">
        <v>128</v>
      </c>
      <c r="AW41" s="203" t="s">
        <v>164</v>
      </c>
    </row>
    <row r="42" spans="4:55" ht="15" thickBot="1" x14ac:dyDescent="0.4">
      <c r="G42" s="1" t="s">
        <v>569</v>
      </c>
      <c r="O42" s="1" t="s">
        <v>73</v>
      </c>
      <c r="P42" s="44" t="s">
        <v>83</v>
      </c>
      <c r="Q42" s="1" t="s">
        <v>80</v>
      </c>
      <c r="R42" s="1" t="s">
        <v>353</v>
      </c>
      <c r="U42" s="1" t="s">
        <v>392</v>
      </c>
      <c r="V42" s="5" t="s">
        <v>107</v>
      </c>
      <c r="W42" s="5" t="s">
        <v>104</v>
      </c>
      <c r="X42" s="5"/>
      <c r="Y42" s="5"/>
      <c r="Z42" s="5"/>
      <c r="AU42" s="1" t="s">
        <v>166</v>
      </c>
      <c r="AV42" s="1" t="s">
        <v>128</v>
      </c>
      <c r="AW42" s="203">
        <v>26</v>
      </c>
    </row>
    <row r="43" spans="4:55" ht="15" thickBot="1" x14ac:dyDescent="0.4">
      <c r="G43" s="1" t="s">
        <v>788</v>
      </c>
      <c r="O43" s="1" t="s">
        <v>301</v>
      </c>
      <c r="P43" s="44"/>
      <c r="U43" s="1" t="s">
        <v>401</v>
      </c>
      <c r="V43" s="5" t="s">
        <v>107</v>
      </c>
      <c r="W43" s="188"/>
      <c r="X43" s="188"/>
      <c r="Y43" s="188"/>
      <c r="Z43" s="5"/>
      <c r="AU43" s="1" t="s">
        <v>167</v>
      </c>
      <c r="AV43" s="1" t="s">
        <v>128</v>
      </c>
      <c r="AW43" s="203">
        <v>27</v>
      </c>
    </row>
    <row r="44" spans="4:55" ht="15" thickBot="1" x14ac:dyDescent="0.4">
      <c r="G44" s="1" t="s">
        <v>663</v>
      </c>
      <c r="P44" s="44"/>
      <c r="Q44" s="10" t="s">
        <v>610</v>
      </c>
      <c r="U44" s="1" t="s">
        <v>402</v>
      </c>
      <c r="V44" s="5" t="s">
        <v>107</v>
      </c>
      <c r="W44" s="188"/>
      <c r="X44" s="188"/>
      <c r="Y44" s="188"/>
      <c r="Z44" s="5"/>
      <c r="AU44" s="1" t="s">
        <v>168</v>
      </c>
      <c r="AV44" s="1" t="s">
        <v>128</v>
      </c>
      <c r="AW44" s="203">
        <v>28</v>
      </c>
    </row>
    <row r="45" spans="4:55" ht="15" thickBot="1" x14ac:dyDescent="0.4">
      <c r="G45" s="1" t="s">
        <v>635</v>
      </c>
      <c r="O45" s="10" t="s">
        <v>78</v>
      </c>
      <c r="P45" s="45" t="s">
        <v>612</v>
      </c>
      <c r="Q45" s="1" t="s">
        <v>317</v>
      </c>
      <c r="R45" s="10" t="s">
        <v>613</v>
      </c>
      <c r="S45" s="10"/>
      <c r="U45" s="1" t="s">
        <v>403</v>
      </c>
      <c r="V45" s="5" t="s">
        <v>107</v>
      </c>
      <c r="W45" s="188" t="s">
        <v>397</v>
      </c>
      <c r="X45" s="188"/>
      <c r="Y45" s="188"/>
      <c r="Z45" s="5"/>
      <c r="AU45" s="1" t="s">
        <v>169</v>
      </c>
      <c r="AV45" s="1" t="s">
        <v>128</v>
      </c>
      <c r="AW45" s="203">
        <v>29</v>
      </c>
    </row>
    <row r="46" spans="4:55" ht="15" thickBot="1" x14ac:dyDescent="0.4">
      <c r="G46" s="1" t="s">
        <v>574</v>
      </c>
      <c r="O46" s="44" t="s">
        <v>73</v>
      </c>
      <c r="P46" s="44" t="s">
        <v>79</v>
      </c>
      <c r="Q46" s="1" t="s">
        <v>99</v>
      </c>
      <c r="R46" s="1" t="s">
        <v>317</v>
      </c>
      <c r="U46" s="1" t="s">
        <v>400</v>
      </c>
      <c r="V46" s="5" t="s">
        <v>107</v>
      </c>
      <c r="W46" s="188"/>
      <c r="X46" s="188"/>
      <c r="Y46" s="188"/>
      <c r="Z46" s="5"/>
      <c r="AU46" s="1" t="s">
        <v>170</v>
      </c>
      <c r="AV46" s="1" t="s">
        <v>128</v>
      </c>
      <c r="AW46" s="203">
        <v>30.1</v>
      </c>
    </row>
    <row r="47" spans="4:55" ht="15" thickBot="1" x14ac:dyDescent="0.4">
      <c r="G47" s="1" t="s">
        <v>623</v>
      </c>
      <c r="O47" s="44" t="s">
        <v>301</v>
      </c>
      <c r="Q47" s="1" t="s">
        <v>321</v>
      </c>
      <c r="R47" s="1" t="s">
        <v>99</v>
      </c>
      <c r="U47" s="1" t="s">
        <v>404</v>
      </c>
      <c r="V47" s="5" t="s">
        <v>107</v>
      </c>
      <c r="W47" s="5"/>
      <c r="X47" s="5"/>
      <c r="Y47" s="5"/>
      <c r="Z47" s="5"/>
      <c r="AU47" s="1" t="s">
        <v>171</v>
      </c>
      <c r="AV47" s="1" t="s">
        <v>128</v>
      </c>
      <c r="AW47" s="203">
        <v>30.3</v>
      </c>
    </row>
    <row r="48" spans="4:55" ht="15" thickBot="1" x14ac:dyDescent="0.4">
      <c r="G48" s="1" t="s">
        <v>658</v>
      </c>
      <c r="Q48" s="1" t="s">
        <v>324</v>
      </c>
      <c r="R48" s="1" t="s">
        <v>76</v>
      </c>
      <c r="U48" s="1" t="s">
        <v>106</v>
      </c>
      <c r="V48" s="5" t="s">
        <v>107</v>
      </c>
      <c r="W48" s="5" t="s">
        <v>393</v>
      </c>
      <c r="X48" s="5" t="s">
        <v>104</v>
      </c>
      <c r="Y48" s="5"/>
      <c r="Z48" s="5"/>
      <c r="AH48" s="10" t="s">
        <v>617</v>
      </c>
      <c r="AU48" s="1" t="s">
        <v>173</v>
      </c>
      <c r="AV48" s="1" t="s">
        <v>128</v>
      </c>
      <c r="AW48" s="203" t="s">
        <v>172</v>
      </c>
    </row>
    <row r="49" spans="7:49" ht="15" thickBot="1" x14ac:dyDescent="0.4">
      <c r="G49" s="1" t="s">
        <v>653</v>
      </c>
      <c r="O49" s="10" t="s">
        <v>317</v>
      </c>
      <c r="P49" s="10" t="s">
        <v>618</v>
      </c>
      <c r="Q49" s="1" t="s">
        <v>78</v>
      </c>
      <c r="R49" s="1" t="s">
        <v>343</v>
      </c>
      <c r="U49" s="1" t="s">
        <v>410</v>
      </c>
      <c r="V49" s="5" t="s">
        <v>393</v>
      </c>
      <c r="W49" s="5"/>
      <c r="X49" s="5"/>
      <c r="Y49" s="5"/>
      <c r="Z49" s="5"/>
      <c r="AE49" s="10" t="s">
        <v>619</v>
      </c>
      <c r="AF49" s="10" t="s">
        <v>620</v>
      </c>
      <c r="AG49" s="10" t="s">
        <v>621</v>
      </c>
      <c r="AH49" s="10" t="s">
        <v>622</v>
      </c>
      <c r="AI49" s="13"/>
      <c r="AJ49" s="13"/>
      <c r="AU49" s="1" t="s">
        <v>174</v>
      </c>
      <c r="AV49" s="1" t="s">
        <v>128</v>
      </c>
      <c r="AW49" s="203">
        <v>31</v>
      </c>
    </row>
    <row r="50" spans="7:49" ht="15" thickBot="1" x14ac:dyDescent="0.4">
      <c r="G50" s="1" t="s">
        <v>661</v>
      </c>
      <c r="O50" s="1" t="s">
        <v>73</v>
      </c>
      <c r="P50" s="1" t="s">
        <v>318</v>
      </c>
      <c r="Q50" s="1" t="s">
        <v>76</v>
      </c>
      <c r="R50" s="1" t="s">
        <v>344</v>
      </c>
      <c r="U50" s="1" t="s">
        <v>407</v>
      </c>
      <c r="V50" s="5" t="s">
        <v>393</v>
      </c>
      <c r="W50" s="5" t="s">
        <v>397</v>
      </c>
      <c r="X50" s="5" t="s">
        <v>104</v>
      </c>
      <c r="Y50" s="5" t="s">
        <v>398</v>
      </c>
      <c r="Z50" s="5"/>
      <c r="AE50" s="1" t="s">
        <v>362</v>
      </c>
      <c r="AF50" s="1" t="s">
        <v>377</v>
      </c>
      <c r="AG50" s="1" t="s">
        <v>98</v>
      </c>
      <c r="AH50" s="1" t="s">
        <v>98</v>
      </c>
      <c r="AU50" s="1" t="s">
        <v>175</v>
      </c>
      <c r="AV50" s="1" t="s">
        <v>128</v>
      </c>
      <c r="AW50" s="203">
        <v>32</v>
      </c>
    </row>
    <row r="51" spans="7:49" ht="15" thickBot="1" x14ac:dyDescent="0.4">
      <c r="G51" s="1" t="s">
        <v>1</v>
      </c>
      <c r="O51" s="1" t="s">
        <v>301</v>
      </c>
      <c r="P51" s="1" t="s">
        <v>319</v>
      </c>
      <c r="Q51" s="1" t="s">
        <v>80</v>
      </c>
      <c r="U51" s="1" t="s">
        <v>408</v>
      </c>
      <c r="V51" s="5" t="s">
        <v>393</v>
      </c>
      <c r="W51" s="5" t="s">
        <v>397</v>
      </c>
      <c r="X51" s="5" t="s">
        <v>104</v>
      </c>
      <c r="Y51" s="5" t="s">
        <v>398</v>
      </c>
      <c r="Z51" s="5"/>
      <c r="AE51" s="1" t="s">
        <v>363</v>
      </c>
      <c r="AF51" s="1" t="s">
        <v>624</v>
      </c>
      <c r="AH51" s="1" t="s">
        <v>378</v>
      </c>
      <c r="AU51" s="1" t="s">
        <v>176</v>
      </c>
      <c r="AV51" s="1" t="s">
        <v>128</v>
      </c>
      <c r="AW51" s="203">
        <v>33.15</v>
      </c>
    </row>
    <row r="52" spans="7:49" ht="15" thickBot="1" x14ac:dyDescent="0.4">
      <c r="G52" s="1" t="s">
        <v>636</v>
      </c>
      <c r="Q52" s="10" t="s">
        <v>625</v>
      </c>
      <c r="R52" s="10" t="s">
        <v>626</v>
      </c>
      <c r="S52" s="10"/>
      <c r="U52" s="1" t="s">
        <v>409</v>
      </c>
      <c r="V52" s="5" t="s">
        <v>393</v>
      </c>
      <c r="W52" s="5" t="s">
        <v>397</v>
      </c>
      <c r="X52" s="5" t="s">
        <v>104</v>
      </c>
      <c r="Y52" s="5" t="s">
        <v>398</v>
      </c>
      <c r="Z52" s="5"/>
      <c r="AF52" s="1" t="s">
        <v>627</v>
      </c>
      <c r="AH52" s="1" t="s">
        <v>379</v>
      </c>
      <c r="AU52" s="1" t="s">
        <v>177</v>
      </c>
      <c r="AV52" s="1" t="s">
        <v>128</v>
      </c>
      <c r="AW52" s="203">
        <v>33.159999999999997</v>
      </c>
    </row>
    <row r="53" spans="7:49" ht="15" thickBot="1" x14ac:dyDescent="0.4">
      <c r="G53" s="1" t="s">
        <v>786</v>
      </c>
      <c r="O53" s="10" t="s">
        <v>99</v>
      </c>
      <c r="P53" s="10" t="s">
        <v>628</v>
      </c>
      <c r="Q53" s="1" t="s">
        <v>317</v>
      </c>
      <c r="R53" s="1" t="s">
        <v>317</v>
      </c>
      <c r="U53" s="1" t="s">
        <v>394</v>
      </c>
      <c r="V53" s="5" t="s">
        <v>107</v>
      </c>
      <c r="W53" s="5" t="s">
        <v>104</v>
      </c>
      <c r="X53" s="5"/>
      <c r="Y53" s="5"/>
      <c r="Z53" s="5"/>
      <c r="AU53" s="1" t="s">
        <v>179</v>
      </c>
      <c r="AV53" s="1" t="s">
        <v>128</v>
      </c>
      <c r="AW53" s="203" t="s">
        <v>178</v>
      </c>
    </row>
    <row r="54" spans="7:49" ht="15" thickBot="1" x14ac:dyDescent="0.4">
      <c r="G54" s="1" t="s">
        <v>580</v>
      </c>
      <c r="H54" s="13"/>
      <c r="O54" s="1" t="s">
        <v>73</v>
      </c>
      <c r="P54" s="1" t="s">
        <v>318</v>
      </c>
      <c r="Q54" s="1" t="s">
        <v>99</v>
      </c>
      <c r="U54" s="1" t="s">
        <v>629</v>
      </c>
      <c r="V54" s="5" t="s">
        <v>107</v>
      </c>
      <c r="W54" s="5" t="s">
        <v>104</v>
      </c>
      <c r="X54" s="5"/>
      <c r="Y54" s="5"/>
      <c r="Z54" s="5"/>
      <c r="AU54" s="1" t="s">
        <v>181</v>
      </c>
      <c r="AV54" s="1" t="s">
        <v>180</v>
      </c>
      <c r="AW54" s="203">
        <v>35.1</v>
      </c>
    </row>
    <row r="55" spans="7:49" ht="15" thickBot="1" x14ac:dyDescent="0.4">
      <c r="G55" s="1" t="s">
        <v>674</v>
      </c>
      <c r="O55" s="1" t="s">
        <v>301</v>
      </c>
      <c r="P55" s="1" t="s">
        <v>320</v>
      </c>
      <c r="Q55" s="1" t="s">
        <v>321</v>
      </c>
      <c r="U55" s="1" t="s">
        <v>395</v>
      </c>
      <c r="V55" s="5" t="s">
        <v>107</v>
      </c>
      <c r="W55" s="5" t="s">
        <v>104</v>
      </c>
      <c r="X55" s="5"/>
      <c r="Y55" s="5"/>
      <c r="Z55" s="5"/>
      <c r="AU55" s="1" t="s">
        <v>986</v>
      </c>
      <c r="AV55" s="1" t="s">
        <v>180</v>
      </c>
      <c r="AW55" s="203" t="s">
        <v>182</v>
      </c>
    </row>
    <row r="56" spans="7:49" ht="15" thickBot="1" x14ac:dyDescent="0.4">
      <c r="G56" s="1" t="s">
        <v>584</v>
      </c>
      <c r="Q56" s="1" t="s">
        <v>324</v>
      </c>
      <c r="R56" s="10" t="s">
        <v>630</v>
      </c>
      <c r="S56" s="10"/>
      <c r="U56" s="1" t="s">
        <v>396</v>
      </c>
      <c r="V56" s="5" t="s">
        <v>107</v>
      </c>
      <c r="W56" s="5" t="s">
        <v>393</v>
      </c>
      <c r="X56" s="5" t="s">
        <v>397</v>
      </c>
      <c r="Y56" s="5" t="s">
        <v>104</v>
      </c>
      <c r="Z56" s="5"/>
      <c r="AU56" s="1" t="s">
        <v>184</v>
      </c>
      <c r="AV56" s="1" t="s">
        <v>183</v>
      </c>
      <c r="AW56" s="203">
        <v>36</v>
      </c>
    </row>
    <row r="57" spans="7:49" x14ac:dyDescent="0.35">
      <c r="G57" s="1" t="s">
        <v>647</v>
      </c>
      <c r="O57" s="10" t="s">
        <v>632</v>
      </c>
      <c r="P57" s="45" t="s">
        <v>633</v>
      </c>
      <c r="Q57" s="1" t="s">
        <v>78</v>
      </c>
      <c r="R57" s="1" t="s">
        <v>341</v>
      </c>
      <c r="AU57" s="1" t="s">
        <v>185</v>
      </c>
      <c r="AV57" s="1" t="s">
        <v>183</v>
      </c>
      <c r="AW57" s="203">
        <v>37</v>
      </c>
    </row>
    <row r="58" spans="7:49" x14ac:dyDescent="0.35">
      <c r="G58" s="1" t="s">
        <v>651</v>
      </c>
      <c r="O58" s="1" t="s">
        <v>73</v>
      </c>
      <c r="P58" s="1" t="s">
        <v>81</v>
      </c>
      <c r="Q58" s="1" t="s">
        <v>76</v>
      </c>
      <c r="R58" s="1" t="s">
        <v>342</v>
      </c>
      <c r="AU58" s="1" t="s">
        <v>186</v>
      </c>
      <c r="AV58" s="1" t="s">
        <v>183</v>
      </c>
      <c r="AW58" s="203">
        <v>38</v>
      </c>
    </row>
    <row r="59" spans="7:49" x14ac:dyDescent="0.35">
      <c r="G59" s="1" t="s">
        <v>585</v>
      </c>
      <c r="O59" s="1" t="s">
        <v>301</v>
      </c>
      <c r="AU59" s="1" t="s">
        <v>187</v>
      </c>
      <c r="AV59" s="1" t="s">
        <v>183</v>
      </c>
      <c r="AW59" s="203">
        <v>39</v>
      </c>
    </row>
    <row r="60" spans="7:49" x14ac:dyDescent="0.35">
      <c r="G60" s="1" t="s">
        <v>592</v>
      </c>
      <c r="O60" s="10" t="s">
        <v>637</v>
      </c>
      <c r="P60" s="10" t="s">
        <v>638</v>
      </c>
      <c r="R60" s="10" t="s">
        <v>639</v>
      </c>
      <c r="S60" s="10"/>
      <c r="AU60" s="1" t="s">
        <v>987</v>
      </c>
      <c r="AV60" s="1" t="s">
        <v>188</v>
      </c>
      <c r="AW60" s="203">
        <v>41.2</v>
      </c>
    </row>
    <row r="61" spans="7:49" x14ac:dyDescent="0.35">
      <c r="G61" s="1" t="s">
        <v>784</v>
      </c>
      <c r="O61" s="1" t="s">
        <v>73</v>
      </c>
      <c r="P61" s="1" t="s">
        <v>306</v>
      </c>
      <c r="R61" s="1" t="s">
        <v>341</v>
      </c>
      <c r="AU61" s="1" t="s">
        <v>988</v>
      </c>
      <c r="AV61" s="1" t="s">
        <v>188</v>
      </c>
      <c r="AW61" s="203" t="s">
        <v>1001</v>
      </c>
    </row>
    <row r="62" spans="7:49" x14ac:dyDescent="0.35">
      <c r="G62" s="1" t="s">
        <v>676</v>
      </c>
      <c r="O62" s="1" t="s">
        <v>301</v>
      </c>
      <c r="P62" s="1" t="s">
        <v>308</v>
      </c>
      <c r="R62" s="1" t="s">
        <v>342</v>
      </c>
      <c r="AU62" s="1" t="s">
        <v>989</v>
      </c>
      <c r="AV62" s="1" t="s">
        <v>188</v>
      </c>
      <c r="AW62" s="203">
        <v>42.99</v>
      </c>
    </row>
    <row r="63" spans="7:49" x14ac:dyDescent="0.35">
      <c r="G63" s="1" t="s">
        <v>671</v>
      </c>
      <c r="O63" s="45" t="s">
        <v>643</v>
      </c>
      <c r="AU63" s="1" t="s">
        <v>190</v>
      </c>
      <c r="AV63" s="1" t="s">
        <v>189</v>
      </c>
      <c r="AW63" s="203">
        <v>45</v>
      </c>
    </row>
    <row r="64" spans="7:49" x14ac:dyDescent="0.35">
      <c r="G64" s="1" t="s">
        <v>607</v>
      </c>
      <c r="O64" s="1" t="s">
        <v>73</v>
      </c>
      <c r="P64" s="10" t="s">
        <v>645</v>
      </c>
      <c r="R64" s="10" t="s">
        <v>646</v>
      </c>
      <c r="S64" s="10"/>
      <c r="X64" s="10"/>
      <c r="AU64" s="1" t="s">
        <v>191</v>
      </c>
      <c r="AV64" s="1" t="s">
        <v>189</v>
      </c>
      <c r="AW64" s="203">
        <v>46</v>
      </c>
    </row>
    <row r="65" spans="7:49" x14ac:dyDescent="0.35">
      <c r="G65" s="1" t="s">
        <v>594</v>
      </c>
      <c r="O65" s="44"/>
      <c r="P65" s="1" t="s">
        <v>304</v>
      </c>
      <c r="R65" s="1" t="s">
        <v>341</v>
      </c>
      <c r="AU65" s="1" t="s">
        <v>192</v>
      </c>
      <c r="AV65" s="1" t="s">
        <v>189</v>
      </c>
      <c r="AW65" s="203">
        <v>47</v>
      </c>
    </row>
    <row r="66" spans="7:49" x14ac:dyDescent="0.35">
      <c r="G66" s="1" t="s">
        <v>599</v>
      </c>
      <c r="O66" s="45" t="s">
        <v>649</v>
      </c>
      <c r="P66" s="1" t="s">
        <v>302</v>
      </c>
      <c r="R66" s="1" t="s">
        <v>342</v>
      </c>
      <c r="AU66" s="1" t="s">
        <v>990</v>
      </c>
      <c r="AV66" s="1" t="s">
        <v>193</v>
      </c>
      <c r="AW66" s="203" t="s">
        <v>194</v>
      </c>
    </row>
    <row r="67" spans="7:49" x14ac:dyDescent="0.35">
      <c r="G67" s="1" t="s">
        <v>667</v>
      </c>
      <c r="O67" s="44" t="s">
        <v>73</v>
      </c>
      <c r="P67" s="1" t="s">
        <v>303</v>
      </c>
      <c r="AU67" s="1" t="s">
        <v>991</v>
      </c>
      <c r="AV67" s="1" t="s">
        <v>193</v>
      </c>
      <c r="AW67" s="203" t="s">
        <v>195</v>
      </c>
    </row>
    <row r="68" spans="7:49" x14ac:dyDescent="0.35">
      <c r="G68" s="1" t="s">
        <v>669</v>
      </c>
      <c r="AU68" s="1" t="s">
        <v>992</v>
      </c>
      <c r="AV68" s="1" t="s">
        <v>193</v>
      </c>
      <c r="AW68" s="203">
        <v>50</v>
      </c>
    </row>
    <row r="69" spans="7:49" x14ac:dyDescent="0.35">
      <c r="G69" s="1" t="s">
        <v>641</v>
      </c>
      <c r="P69" s="10" t="s">
        <v>652</v>
      </c>
      <c r="AU69" s="1" t="s">
        <v>993</v>
      </c>
      <c r="AV69" s="1" t="s">
        <v>193</v>
      </c>
      <c r="AW69" s="203">
        <v>51</v>
      </c>
    </row>
    <row r="70" spans="7:49" x14ac:dyDescent="0.35">
      <c r="G70" s="1" t="s">
        <v>601</v>
      </c>
      <c r="O70" s="10" t="s">
        <v>654</v>
      </c>
      <c r="P70" s="1" t="s">
        <v>311</v>
      </c>
      <c r="AU70" s="1" t="s">
        <v>196</v>
      </c>
      <c r="AV70" s="1" t="s">
        <v>193</v>
      </c>
      <c r="AW70" s="203">
        <v>52</v>
      </c>
    </row>
    <row r="71" spans="7:49" x14ac:dyDescent="0.35">
      <c r="G71" s="1" t="s">
        <v>789</v>
      </c>
      <c r="O71" s="1" t="s">
        <v>73</v>
      </c>
      <c r="P71" s="1" t="s">
        <v>312</v>
      </c>
      <c r="X71" s="10"/>
      <c r="AU71" s="1" t="s">
        <v>197</v>
      </c>
      <c r="AV71" s="1" t="s">
        <v>193</v>
      </c>
      <c r="AW71" s="203">
        <v>53</v>
      </c>
    </row>
    <row r="72" spans="7:49" x14ac:dyDescent="0.35">
      <c r="G72" s="1" t="s">
        <v>672</v>
      </c>
      <c r="O72" s="1" t="s">
        <v>105</v>
      </c>
      <c r="AU72" s="1" t="s">
        <v>199</v>
      </c>
      <c r="AV72" s="1" t="s">
        <v>198</v>
      </c>
      <c r="AW72" s="203">
        <v>55</v>
      </c>
    </row>
    <row r="73" spans="7:49" x14ac:dyDescent="0.35">
      <c r="G73" s="1" t="s">
        <v>642</v>
      </c>
      <c r="AU73" s="1" t="s">
        <v>200</v>
      </c>
      <c r="AV73" s="1" t="s">
        <v>198</v>
      </c>
      <c r="AW73" s="203">
        <v>56</v>
      </c>
    </row>
    <row r="74" spans="7:49" x14ac:dyDescent="0.35">
      <c r="G74" s="1" t="s">
        <v>677</v>
      </c>
      <c r="AU74" s="1" t="s">
        <v>202</v>
      </c>
      <c r="AV74" s="1" t="s">
        <v>201</v>
      </c>
      <c r="AW74" s="203">
        <v>58</v>
      </c>
    </row>
    <row r="75" spans="7:49" x14ac:dyDescent="0.35">
      <c r="G75" s="1" t="s">
        <v>648</v>
      </c>
      <c r="O75" s="45" t="s">
        <v>659</v>
      </c>
      <c r="P75" s="10" t="s">
        <v>660</v>
      </c>
      <c r="AU75" s="1" t="s">
        <v>994</v>
      </c>
      <c r="AV75" s="1" t="s">
        <v>201</v>
      </c>
      <c r="AW75" s="203">
        <v>59</v>
      </c>
    </row>
    <row r="76" spans="7:49" x14ac:dyDescent="0.35">
      <c r="G76" s="1" t="s">
        <v>665</v>
      </c>
      <c r="O76" s="1" t="s">
        <v>299</v>
      </c>
      <c r="P76" s="1" t="s">
        <v>325</v>
      </c>
      <c r="X76" s="10"/>
      <c r="AU76" s="1" t="s">
        <v>995</v>
      </c>
      <c r="AV76" s="1" t="s">
        <v>201</v>
      </c>
      <c r="AW76" s="203">
        <v>60</v>
      </c>
    </row>
    <row r="77" spans="7:49" x14ac:dyDescent="0.35">
      <c r="G77" s="1" t="s">
        <v>565</v>
      </c>
      <c r="O77" s="1" t="s">
        <v>301</v>
      </c>
      <c r="AU77" s="1" t="s">
        <v>203</v>
      </c>
      <c r="AV77" s="1" t="s">
        <v>201</v>
      </c>
      <c r="AW77" s="203">
        <v>61</v>
      </c>
    </row>
    <row r="78" spans="7:49" x14ac:dyDescent="0.35">
      <c r="G78" s="1" t="s">
        <v>611</v>
      </c>
      <c r="P78" s="10" t="s">
        <v>664</v>
      </c>
      <c r="AU78" s="1" t="s">
        <v>204</v>
      </c>
      <c r="AV78" s="1" t="s">
        <v>201</v>
      </c>
      <c r="AW78" s="203">
        <v>62</v>
      </c>
    </row>
    <row r="79" spans="7:49" x14ac:dyDescent="0.35">
      <c r="G79" s="1" t="s">
        <v>600</v>
      </c>
      <c r="O79" s="10" t="s">
        <v>680</v>
      </c>
      <c r="P79" s="1" t="s">
        <v>322</v>
      </c>
      <c r="AU79" s="1" t="s">
        <v>205</v>
      </c>
      <c r="AV79" s="1" t="s">
        <v>201</v>
      </c>
      <c r="AW79" s="203">
        <v>63</v>
      </c>
    </row>
    <row r="80" spans="7:49" x14ac:dyDescent="0.35">
      <c r="G80" s="1" t="s">
        <v>644</v>
      </c>
      <c r="O80" s="1" t="s">
        <v>73</v>
      </c>
      <c r="P80" s="1" t="s">
        <v>323</v>
      </c>
      <c r="AU80" s="1" t="s">
        <v>207</v>
      </c>
      <c r="AV80" s="1" t="s">
        <v>206</v>
      </c>
      <c r="AW80" s="203">
        <v>64</v>
      </c>
    </row>
    <row r="81" spans="7:49" x14ac:dyDescent="0.35">
      <c r="G81" s="1" t="s">
        <v>608</v>
      </c>
      <c r="O81" s="1" t="s">
        <v>105</v>
      </c>
      <c r="AU81" s="1" t="s">
        <v>996</v>
      </c>
      <c r="AV81" s="1" t="s">
        <v>206</v>
      </c>
      <c r="AW81" s="203" t="s">
        <v>1002</v>
      </c>
    </row>
    <row r="82" spans="7:49" x14ac:dyDescent="0.35">
      <c r="G82" s="1" t="s">
        <v>673</v>
      </c>
      <c r="P82" s="10" t="s">
        <v>681</v>
      </c>
      <c r="X82" s="10"/>
      <c r="AU82" s="1" t="s">
        <v>208</v>
      </c>
      <c r="AV82" s="1" t="s">
        <v>206</v>
      </c>
      <c r="AW82" s="203">
        <v>66</v>
      </c>
    </row>
    <row r="83" spans="7:49" x14ac:dyDescent="0.35">
      <c r="G83" s="1" t="s">
        <v>602</v>
      </c>
      <c r="O83" s="10" t="s">
        <v>964</v>
      </c>
      <c r="P83" s="1" t="s">
        <v>377</v>
      </c>
      <c r="AU83" s="1" t="s">
        <v>210</v>
      </c>
      <c r="AV83" s="1" t="s">
        <v>209</v>
      </c>
      <c r="AW83" s="203">
        <v>68.12</v>
      </c>
    </row>
    <row r="84" spans="7:49" x14ac:dyDescent="0.35">
      <c r="G84" s="1" t="s">
        <v>662</v>
      </c>
      <c r="O84" s="1" t="s">
        <v>965</v>
      </c>
      <c r="AU84" s="1" t="s">
        <v>212</v>
      </c>
      <c r="AV84" s="1" t="s">
        <v>209</v>
      </c>
      <c r="AW84" s="203" t="s">
        <v>211</v>
      </c>
    </row>
    <row r="85" spans="7:49" x14ac:dyDescent="0.35">
      <c r="G85" s="1" t="s">
        <v>668</v>
      </c>
      <c r="O85" s="1" t="s">
        <v>960</v>
      </c>
      <c r="AU85" s="1" t="s">
        <v>213</v>
      </c>
      <c r="AV85" s="1" t="s">
        <v>209</v>
      </c>
      <c r="AW85" s="203">
        <v>68.3</v>
      </c>
    </row>
    <row r="86" spans="7:49" x14ac:dyDescent="0.35">
      <c r="G86" s="1" t="s">
        <v>519</v>
      </c>
      <c r="AU86" s="1" t="s">
        <v>215</v>
      </c>
      <c r="AV86" s="1" t="s">
        <v>214</v>
      </c>
      <c r="AW86" s="203">
        <v>69.099999999999994</v>
      </c>
    </row>
    <row r="87" spans="7:49" x14ac:dyDescent="0.35">
      <c r="G87" s="1" t="s">
        <v>631</v>
      </c>
      <c r="O87" s="10" t="s">
        <v>792</v>
      </c>
      <c r="P87" s="10" t="s">
        <v>966</v>
      </c>
      <c r="X87" s="10"/>
      <c r="AU87" s="1" t="s">
        <v>216</v>
      </c>
      <c r="AV87" s="1" t="s">
        <v>214</v>
      </c>
      <c r="AW87" s="203">
        <v>69.2</v>
      </c>
    </row>
    <row r="88" spans="7:49" x14ac:dyDescent="0.35">
      <c r="G88" s="1" t="s">
        <v>604</v>
      </c>
      <c r="O88" s="1" t="s">
        <v>793</v>
      </c>
      <c r="P88" s="1" t="s">
        <v>383</v>
      </c>
      <c r="AU88" s="1" t="s">
        <v>217</v>
      </c>
      <c r="AV88" s="1" t="s">
        <v>214</v>
      </c>
      <c r="AW88" s="203">
        <v>70</v>
      </c>
    </row>
    <row r="89" spans="7:49" x14ac:dyDescent="0.35">
      <c r="O89" s="1" t="s">
        <v>794</v>
      </c>
      <c r="AU89" s="1" t="s">
        <v>218</v>
      </c>
      <c r="AV89" s="1" t="s">
        <v>214</v>
      </c>
      <c r="AW89" s="203">
        <v>71</v>
      </c>
    </row>
    <row r="90" spans="7:49" x14ac:dyDescent="0.35">
      <c r="O90" s="1" t="s">
        <v>795</v>
      </c>
      <c r="AU90" s="1" t="s">
        <v>219</v>
      </c>
      <c r="AV90" s="1" t="s">
        <v>214</v>
      </c>
      <c r="AW90" s="203">
        <v>72</v>
      </c>
    </row>
    <row r="91" spans="7:49" x14ac:dyDescent="0.35">
      <c r="G91" s="10"/>
      <c r="O91" s="1" t="s">
        <v>796</v>
      </c>
      <c r="P91" s="10" t="s">
        <v>960</v>
      </c>
      <c r="AU91" s="1" t="s">
        <v>220</v>
      </c>
      <c r="AV91" s="1" t="s">
        <v>214</v>
      </c>
      <c r="AW91" s="203">
        <v>73</v>
      </c>
    </row>
    <row r="92" spans="7:49" x14ac:dyDescent="0.35">
      <c r="O92" s="1" t="s">
        <v>797</v>
      </c>
      <c r="P92" s="1" t="s">
        <v>959</v>
      </c>
      <c r="AU92" s="1" t="s">
        <v>221</v>
      </c>
      <c r="AV92" s="1" t="s">
        <v>214</v>
      </c>
      <c r="AW92" s="203">
        <v>74</v>
      </c>
    </row>
    <row r="93" spans="7:49" x14ac:dyDescent="0.35">
      <c r="O93" s="1" t="s">
        <v>798</v>
      </c>
      <c r="P93" s="1" t="s">
        <v>961</v>
      </c>
      <c r="X93" s="10"/>
      <c r="AU93" s="1" t="s">
        <v>222</v>
      </c>
      <c r="AV93" s="1" t="s">
        <v>214</v>
      </c>
      <c r="AW93" s="203">
        <v>75</v>
      </c>
    </row>
    <row r="94" spans="7:49" x14ac:dyDescent="0.35">
      <c r="O94" s="1" t="s">
        <v>799</v>
      </c>
      <c r="P94" s="1" t="s">
        <v>963</v>
      </c>
      <c r="AU94" s="1" t="s">
        <v>224</v>
      </c>
      <c r="AV94" s="1" t="s">
        <v>223</v>
      </c>
      <c r="AW94" s="203">
        <v>77</v>
      </c>
    </row>
    <row r="95" spans="7:49" x14ac:dyDescent="0.35">
      <c r="O95" s="1" t="s">
        <v>800</v>
      </c>
      <c r="P95" s="1" t="s">
        <v>962</v>
      </c>
      <c r="AU95" s="1" t="s">
        <v>225</v>
      </c>
      <c r="AV95" s="1" t="s">
        <v>223</v>
      </c>
      <c r="AW95" s="203">
        <v>78</v>
      </c>
    </row>
    <row r="96" spans="7:49" x14ac:dyDescent="0.35">
      <c r="G96" s="10"/>
      <c r="O96" s="1" t="s">
        <v>801</v>
      </c>
      <c r="AU96" s="1" t="s">
        <v>226</v>
      </c>
      <c r="AV96" s="1" t="s">
        <v>223</v>
      </c>
      <c r="AW96" s="203">
        <v>79</v>
      </c>
    </row>
    <row r="97" spans="15:49" x14ac:dyDescent="0.35">
      <c r="O97" s="1" t="s">
        <v>802</v>
      </c>
      <c r="P97" s="10" t="s">
        <v>967</v>
      </c>
      <c r="AU97" s="1" t="s">
        <v>227</v>
      </c>
      <c r="AV97" s="1" t="s">
        <v>223</v>
      </c>
      <c r="AW97" s="203">
        <v>80</v>
      </c>
    </row>
    <row r="98" spans="15:49" x14ac:dyDescent="0.35">
      <c r="O98" s="1" t="s">
        <v>803</v>
      </c>
      <c r="P98" s="1" t="s">
        <v>383</v>
      </c>
      <c r="AU98" s="1" t="s">
        <v>228</v>
      </c>
      <c r="AV98" s="1" t="s">
        <v>223</v>
      </c>
      <c r="AW98" s="203">
        <v>81</v>
      </c>
    </row>
    <row r="99" spans="15:49" x14ac:dyDescent="0.35">
      <c r="O99" s="1" t="s">
        <v>804</v>
      </c>
      <c r="X99" s="10"/>
      <c r="AU99" s="1" t="s">
        <v>229</v>
      </c>
      <c r="AV99" s="1" t="s">
        <v>223</v>
      </c>
      <c r="AW99" s="203">
        <v>82</v>
      </c>
    </row>
    <row r="100" spans="15:49" x14ac:dyDescent="0.35">
      <c r="O100" s="1" t="s">
        <v>805</v>
      </c>
      <c r="AU100" s="1" t="s">
        <v>231</v>
      </c>
      <c r="AV100" s="1" t="s">
        <v>230</v>
      </c>
      <c r="AW100" s="203">
        <v>84</v>
      </c>
    </row>
    <row r="101" spans="15:49" x14ac:dyDescent="0.35">
      <c r="O101" s="1" t="s">
        <v>806</v>
      </c>
      <c r="AU101" s="1" t="s">
        <v>233</v>
      </c>
      <c r="AV101" s="1" t="s">
        <v>232</v>
      </c>
      <c r="AW101" s="203">
        <v>85</v>
      </c>
    </row>
    <row r="102" spans="15:49" x14ac:dyDescent="0.35">
      <c r="O102" s="1" t="s">
        <v>807</v>
      </c>
      <c r="AU102" s="1" t="s">
        <v>235</v>
      </c>
      <c r="AV102" s="1" t="s">
        <v>234</v>
      </c>
      <c r="AW102" s="203">
        <v>86</v>
      </c>
    </row>
    <row r="103" spans="15:49" x14ac:dyDescent="0.35">
      <c r="O103" s="1" t="s">
        <v>808</v>
      </c>
      <c r="AU103" s="1" t="s">
        <v>997</v>
      </c>
      <c r="AV103" s="1" t="s">
        <v>234</v>
      </c>
      <c r="AW103" s="203">
        <v>87</v>
      </c>
    </row>
    <row r="104" spans="15:49" x14ac:dyDescent="0.35">
      <c r="O104" s="1" t="s">
        <v>809</v>
      </c>
      <c r="AU104" s="1" t="s">
        <v>998</v>
      </c>
      <c r="AV104" s="1" t="s">
        <v>234</v>
      </c>
      <c r="AW104" s="203">
        <v>88</v>
      </c>
    </row>
    <row r="105" spans="15:49" x14ac:dyDescent="0.35">
      <c r="O105" s="1" t="s">
        <v>810</v>
      </c>
      <c r="X105" s="10"/>
      <c r="AU105" s="1" t="s">
        <v>237</v>
      </c>
      <c r="AV105" s="1" t="s">
        <v>236</v>
      </c>
      <c r="AW105" s="203">
        <v>90</v>
      </c>
    </row>
    <row r="106" spans="15:49" x14ac:dyDescent="0.35">
      <c r="O106" s="1" t="s">
        <v>811</v>
      </c>
      <c r="AU106" s="1" t="s">
        <v>238</v>
      </c>
      <c r="AV106" s="1" t="s">
        <v>236</v>
      </c>
      <c r="AW106" s="203">
        <v>91</v>
      </c>
    </row>
    <row r="107" spans="15:49" x14ac:dyDescent="0.35">
      <c r="O107" s="1" t="s">
        <v>812</v>
      </c>
      <c r="AU107" s="1" t="s">
        <v>239</v>
      </c>
      <c r="AV107" s="1" t="s">
        <v>236</v>
      </c>
      <c r="AW107" s="203">
        <v>92</v>
      </c>
    </row>
    <row r="108" spans="15:49" x14ac:dyDescent="0.35">
      <c r="O108" s="1" t="s">
        <v>813</v>
      </c>
      <c r="AU108" s="1" t="s">
        <v>240</v>
      </c>
      <c r="AV108" s="1" t="s">
        <v>236</v>
      </c>
      <c r="AW108" s="203">
        <v>93</v>
      </c>
    </row>
    <row r="109" spans="15:49" x14ac:dyDescent="0.35">
      <c r="O109" s="1" t="s">
        <v>814</v>
      </c>
      <c r="AU109" s="1" t="s">
        <v>242</v>
      </c>
      <c r="AV109" s="1" t="s">
        <v>241</v>
      </c>
      <c r="AW109" s="203">
        <v>94</v>
      </c>
    </row>
    <row r="110" spans="15:49" x14ac:dyDescent="0.35">
      <c r="O110" s="1" t="s">
        <v>815</v>
      </c>
      <c r="AU110" s="1" t="s">
        <v>243</v>
      </c>
      <c r="AV110" s="1" t="s">
        <v>241</v>
      </c>
      <c r="AW110" s="203">
        <v>95</v>
      </c>
    </row>
    <row r="111" spans="15:49" x14ac:dyDescent="0.35">
      <c r="O111" s="1" t="s">
        <v>816</v>
      </c>
      <c r="AU111" s="1" t="s">
        <v>244</v>
      </c>
      <c r="AV111" s="1" t="s">
        <v>241</v>
      </c>
      <c r="AW111" s="203">
        <v>96</v>
      </c>
    </row>
    <row r="112" spans="15:49" x14ac:dyDescent="0.35">
      <c r="O112" s="1" t="s">
        <v>817</v>
      </c>
      <c r="AU112" s="1" t="s">
        <v>246</v>
      </c>
      <c r="AV112" s="1" t="s">
        <v>245</v>
      </c>
      <c r="AW112" s="203">
        <v>97</v>
      </c>
    </row>
    <row r="113" spans="15:15" x14ac:dyDescent="0.35">
      <c r="O113" s="1" t="s">
        <v>818</v>
      </c>
    </row>
    <row r="114" spans="15:15" x14ac:dyDescent="0.35">
      <c r="O114" s="1" t="s">
        <v>819</v>
      </c>
    </row>
    <row r="115" spans="15:15" x14ac:dyDescent="0.35">
      <c r="O115" s="1" t="s">
        <v>820</v>
      </c>
    </row>
    <row r="116" spans="15:15" x14ac:dyDescent="0.35">
      <c r="O116" s="1" t="s">
        <v>821</v>
      </c>
    </row>
    <row r="117" spans="15:15" x14ac:dyDescent="0.35">
      <c r="O117" s="1" t="s">
        <v>822</v>
      </c>
    </row>
    <row r="118" spans="15:15" x14ac:dyDescent="0.35">
      <c r="O118" s="1" t="s">
        <v>823</v>
      </c>
    </row>
    <row r="119" spans="15:15" x14ac:dyDescent="0.35">
      <c r="O119" s="1" t="s">
        <v>824</v>
      </c>
    </row>
    <row r="120" spans="15:15" x14ac:dyDescent="0.35">
      <c r="O120" s="1" t="s">
        <v>825</v>
      </c>
    </row>
    <row r="121" spans="15:15" x14ac:dyDescent="0.35">
      <c r="O121" s="1" t="s">
        <v>826</v>
      </c>
    </row>
    <row r="122" spans="15:15" x14ac:dyDescent="0.35">
      <c r="O122" s="1" t="s">
        <v>827</v>
      </c>
    </row>
    <row r="123" spans="15:15" x14ac:dyDescent="0.35">
      <c r="O123" s="1" t="s">
        <v>828</v>
      </c>
    </row>
    <row r="124" spans="15:15" x14ac:dyDescent="0.35">
      <c r="O124" s="1" t="s">
        <v>829</v>
      </c>
    </row>
    <row r="125" spans="15:15" x14ac:dyDescent="0.35">
      <c r="O125" s="1" t="s">
        <v>830</v>
      </c>
    </row>
    <row r="126" spans="15:15" x14ac:dyDescent="0.35">
      <c r="O126" s="1" t="s">
        <v>831</v>
      </c>
    </row>
    <row r="127" spans="15:15" x14ac:dyDescent="0.35">
      <c r="O127" s="1" t="s">
        <v>832</v>
      </c>
    </row>
    <row r="128" spans="15:15" x14ac:dyDescent="0.35">
      <c r="O128" s="1" t="s">
        <v>833</v>
      </c>
    </row>
    <row r="129" spans="15:15" x14ac:dyDescent="0.35">
      <c r="O129" s="1" t="s">
        <v>834</v>
      </c>
    </row>
    <row r="130" spans="15:15" x14ac:dyDescent="0.35">
      <c r="O130" s="1" t="s">
        <v>835</v>
      </c>
    </row>
    <row r="131" spans="15:15" x14ac:dyDescent="0.35">
      <c r="O131" s="1" t="s">
        <v>836</v>
      </c>
    </row>
    <row r="132" spans="15:15" x14ac:dyDescent="0.35">
      <c r="O132" s="1" t="s">
        <v>837</v>
      </c>
    </row>
    <row r="133" spans="15:15" x14ac:dyDescent="0.35">
      <c r="O133" s="1" t="s">
        <v>838</v>
      </c>
    </row>
    <row r="134" spans="15:15" x14ac:dyDescent="0.35">
      <c r="O134" s="1" t="s">
        <v>839</v>
      </c>
    </row>
    <row r="135" spans="15:15" x14ac:dyDescent="0.35">
      <c r="O135" s="1" t="s">
        <v>840</v>
      </c>
    </row>
    <row r="136" spans="15:15" x14ac:dyDescent="0.35">
      <c r="O136" s="1" t="s">
        <v>841</v>
      </c>
    </row>
    <row r="137" spans="15:15" x14ac:dyDescent="0.35">
      <c r="O137" s="1" t="s">
        <v>842</v>
      </c>
    </row>
    <row r="138" spans="15:15" x14ac:dyDescent="0.35">
      <c r="O138" s="1" t="s">
        <v>843</v>
      </c>
    </row>
    <row r="139" spans="15:15" x14ac:dyDescent="0.35">
      <c r="O139" s="1" t="s">
        <v>844</v>
      </c>
    </row>
    <row r="140" spans="15:15" x14ac:dyDescent="0.35">
      <c r="O140" s="1" t="s">
        <v>845</v>
      </c>
    </row>
    <row r="141" spans="15:15" x14ac:dyDescent="0.35">
      <c r="O141" s="1" t="s">
        <v>846</v>
      </c>
    </row>
    <row r="142" spans="15:15" x14ac:dyDescent="0.35">
      <c r="O142" s="1" t="s">
        <v>847</v>
      </c>
    </row>
    <row r="143" spans="15:15" x14ac:dyDescent="0.35">
      <c r="O143" s="1" t="s">
        <v>848</v>
      </c>
    </row>
    <row r="144" spans="15:15" x14ac:dyDescent="0.35">
      <c r="O144" s="1" t="s">
        <v>849</v>
      </c>
    </row>
    <row r="145" spans="15:15" x14ac:dyDescent="0.35">
      <c r="O145" s="1" t="s">
        <v>850</v>
      </c>
    </row>
    <row r="146" spans="15:15" x14ac:dyDescent="0.35">
      <c r="O146" s="1" t="s">
        <v>851</v>
      </c>
    </row>
    <row r="147" spans="15:15" x14ac:dyDescent="0.35">
      <c r="O147" s="1" t="s">
        <v>852</v>
      </c>
    </row>
    <row r="148" spans="15:15" x14ac:dyDescent="0.35">
      <c r="O148" s="1" t="s">
        <v>853</v>
      </c>
    </row>
    <row r="149" spans="15:15" x14ac:dyDescent="0.35">
      <c r="O149" s="1" t="s">
        <v>854</v>
      </c>
    </row>
    <row r="150" spans="15:15" x14ac:dyDescent="0.35">
      <c r="O150" s="1" t="s">
        <v>855</v>
      </c>
    </row>
    <row r="151" spans="15:15" x14ac:dyDescent="0.35">
      <c r="O151" s="1" t="s">
        <v>856</v>
      </c>
    </row>
    <row r="152" spans="15:15" x14ac:dyDescent="0.35">
      <c r="O152" s="1" t="s">
        <v>857</v>
      </c>
    </row>
    <row r="153" spans="15:15" x14ac:dyDescent="0.35">
      <c r="O153" s="1" t="s">
        <v>858</v>
      </c>
    </row>
    <row r="154" spans="15:15" x14ac:dyDescent="0.35">
      <c r="O154" s="1" t="s">
        <v>859</v>
      </c>
    </row>
    <row r="155" spans="15:15" x14ac:dyDescent="0.35">
      <c r="O155" s="1" t="s">
        <v>860</v>
      </c>
    </row>
    <row r="156" spans="15:15" x14ac:dyDescent="0.35">
      <c r="O156" s="1" t="s">
        <v>861</v>
      </c>
    </row>
    <row r="157" spans="15:15" x14ac:dyDescent="0.35">
      <c r="O157" s="1" t="s">
        <v>862</v>
      </c>
    </row>
    <row r="158" spans="15:15" x14ac:dyDescent="0.35">
      <c r="O158" s="1" t="s">
        <v>863</v>
      </c>
    </row>
    <row r="159" spans="15:15" x14ac:dyDescent="0.35">
      <c r="O159" s="1" t="s">
        <v>864</v>
      </c>
    </row>
    <row r="160" spans="15:15" x14ac:dyDescent="0.35">
      <c r="O160" s="1" t="s">
        <v>865</v>
      </c>
    </row>
    <row r="161" spans="15:15" x14ac:dyDescent="0.35">
      <c r="O161" s="1" t="s">
        <v>866</v>
      </c>
    </row>
    <row r="162" spans="15:15" x14ac:dyDescent="0.35">
      <c r="O162" s="1" t="s">
        <v>867</v>
      </c>
    </row>
    <row r="163" spans="15:15" x14ac:dyDescent="0.35">
      <c r="O163" s="1" t="s">
        <v>868</v>
      </c>
    </row>
    <row r="164" spans="15:15" x14ac:dyDescent="0.35">
      <c r="O164" s="1" t="s">
        <v>869</v>
      </c>
    </row>
    <row r="165" spans="15:15" x14ac:dyDescent="0.35">
      <c r="O165" s="1" t="s">
        <v>870</v>
      </c>
    </row>
    <row r="166" spans="15:15" x14ac:dyDescent="0.35">
      <c r="O166" s="1" t="s">
        <v>871</v>
      </c>
    </row>
    <row r="167" spans="15:15" x14ac:dyDescent="0.35">
      <c r="O167" s="1" t="s">
        <v>872</v>
      </c>
    </row>
    <row r="168" spans="15:15" x14ac:dyDescent="0.35">
      <c r="O168" s="1" t="s">
        <v>873</v>
      </c>
    </row>
    <row r="169" spans="15:15" x14ac:dyDescent="0.35">
      <c r="O169" s="1" t="s">
        <v>874</v>
      </c>
    </row>
    <row r="170" spans="15:15" x14ac:dyDescent="0.35">
      <c r="O170" s="1" t="s">
        <v>875</v>
      </c>
    </row>
    <row r="171" spans="15:15" x14ac:dyDescent="0.35">
      <c r="O171" s="1" t="s">
        <v>876</v>
      </c>
    </row>
    <row r="172" spans="15:15" x14ac:dyDescent="0.35">
      <c r="O172" s="1" t="s">
        <v>877</v>
      </c>
    </row>
    <row r="173" spans="15:15" x14ac:dyDescent="0.35">
      <c r="O173" s="1" t="s">
        <v>878</v>
      </c>
    </row>
    <row r="174" spans="15:15" x14ac:dyDescent="0.35">
      <c r="O174" s="1" t="s">
        <v>879</v>
      </c>
    </row>
    <row r="175" spans="15:15" x14ac:dyDescent="0.35">
      <c r="O175" s="1" t="s">
        <v>880</v>
      </c>
    </row>
    <row r="176" spans="15:15" x14ac:dyDescent="0.35">
      <c r="O176" s="1" t="s">
        <v>881</v>
      </c>
    </row>
    <row r="177" spans="15:15" x14ac:dyDescent="0.35">
      <c r="O177" s="1" t="s">
        <v>882</v>
      </c>
    </row>
    <row r="178" spans="15:15" x14ac:dyDescent="0.35">
      <c r="O178" s="1" t="s">
        <v>883</v>
      </c>
    </row>
    <row r="179" spans="15:15" x14ac:dyDescent="0.35">
      <c r="O179" s="1" t="s">
        <v>884</v>
      </c>
    </row>
    <row r="180" spans="15:15" x14ac:dyDescent="0.35">
      <c r="O180" s="1" t="s">
        <v>885</v>
      </c>
    </row>
    <row r="181" spans="15:15" x14ac:dyDescent="0.35">
      <c r="O181" s="1" t="s">
        <v>886</v>
      </c>
    </row>
    <row r="182" spans="15:15" x14ac:dyDescent="0.35">
      <c r="O182" s="1" t="s">
        <v>887</v>
      </c>
    </row>
    <row r="183" spans="15:15" x14ac:dyDescent="0.35">
      <c r="O183" s="1" t="s">
        <v>888</v>
      </c>
    </row>
    <row r="184" spans="15:15" x14ac:dyDescent="0.35">
      <c r="O184" s="1" t="s">
        <v>889</v>
      </c>
    </row>
    <row r="185" spans="15:15" x14ac:dyDescent="0.35">
      <c r="O185" s="1" t="s">
        <v>890</v>
      </c>
    </row>
    <row r="186" spans="15:15" x14ac:dyDescent="0.35">
      <c r="O186" s="1" t="s">
        <v>891</v>
      </c>
    </row>
    <row r="187" spans="15:15" x14ac:dyDescent="0.35">
      <c r="O187" s="1" t="s">
        <v>892</v>
      </c>
    </row>
    <row r="188" spans="15:15" x14ac:dyDescent="0.35">
      <c r="O188" s="1" t="s">
        <v>893</v>
      </c>
    </row>
    <row r="189" spans="15:15" x14ac:dyDescent="0.35">
      <c r="O189" s="1" t="s">
        <v>894</v>
      </c>
    </row>
    <row r="190" spans="15:15" x14ac:dyDescent="0.35">
      <c r="O190" s="1" t="s">
        <v>895</v>
      </c>
    </row>
    <row r="191" spans="15:15" x14ac:dyDescent="0.35">
      <c r="O191" s="1" t="s">
        <v>896</v>
      </c>
    </row>
    <row r="192" spans="15:15" x14ac:dyDescent="0.35">
      <c r="O192" s="1" t="s">
        <v>897</v>
      </c>
    </row>
    <row r="193" spans="15:15" x14ac:dyDescent="0.35">
      <c r="O193" s="1" t="s">
        <v>898</v>
      </c>
    </row>
    <row r="194" spans="15:15" x14ac:dyDescent="0.35">
      <c r="O194" s="1" t="s">
        <v>899</v>
      </c>
    </row>
    <row r="195" spans="15:15" x14ac:dyDescent="0.35">
      <c r="O195" s="1" t="s">
        <v>900</v>
      </c>
    </row>
    <row r="196" spans="15:15" x14ac:dyDescent="0.35">
      <c r="O196" s="1" t="s">
        <v>901</v>
      </c>
    </row>
    <row r="197" spans="15:15" x14ac:dyDescent="0.35">
      <c r="O197" s="1" t="s">
        <v>902</v>
      </c>
    </row>
    <row r="198" spans="15:15" x14ac:dyDescent="0.35">
      <c r="O198" s="1" t="s">
        <v>903</v>
      </c>
    </row>
    <row r="199" spans="15:15" x14ac:dyDescent="0.35">
      <c r="O199" s="1" t="s">
        <v>904</v>
      </c>
    </row>
    <row r="200" spans="15:15" x14ac:dyDescent="0.35">
      <c r="O200" s="1" t="s">
        <v>905</v>
      </c>
    </row>
    <row r="201" spans="15:15" x14ac:dyDescent="0.35">
      <c r="O201" s="1" t="s">
        <v>906</v>
      </c>
    </row>
    <row r="202" spans="15:15" x14ac:dyDescent="0.35">
      <c r="O202" s="1" t="s">
        <v>907</v>
      </c>
    </row>
    <row r="203" spans="15:15" x14ac:dyDescent="0.35">
      <c r="O203" s="1" t="s">
        <v>908</v>
      </c>
    </row>
    <row r="204" spans="15:15" x14ac:dyDescent="0.35">
      <c r="O204" s="1" t="s">
        <v>909</v>
      </c>
    </row>
    <row r="205" spans="15:15" x14ac:dyDescent="0.35">
      <c r="O205" s="1" t="s">
        <v>910</v>
      </c>
    </row>
    <row r="206" spans="15:15" x14ac:dyDescent="0.35">
      <c r="O206" s="1" t="s">
        <v>911</v>
      </c>
    </row>
    <row r="207" spans="15:15" x14ac:dyDescent="0.35">
      <c r="O207" s="1" t="s">
        <v>912</v>
      </c>
    </row>
    <row r="208" spans="15:15" x14ac:dyDescent="0.35">
      <c r="O208" s="1" t="s">
        <v>913</v>
      </c>
    </row>
    <row r="209" spans="15:15" x14ac:dyDescent="0.35">
      <c r="O209" s="1" t="s">
        <v>914</v>
      </c>
    </row>
    <row r="210" spans="15:15" x14ac:dyDescent="0.35">
      <c r="O210" s="1" t="s">
        <v>915</v>
      </c>
    </row>
    <row r="211" spans="15:15" x14ac:dyDescent="0.35">
      <c r="O211" s="1" t="s">
        <v>916</v>
      </c>
    </row>
    <row r="212" spans="15:15" x14ac:dyDescent="0.35">
      <c r="O212" s="1" t="s">
        <v>917</v>
      </c>
    </row>
    <row r="213" spans="15:15" x14ac:dyDescent="0.35">
      <c r="O213" s="1" t="s">
        <v>918</v>
      </c>
    </row>
    <row r="214" spans="15:15" x14ac:dyDescent="0.35">
      <c r="O214" s="1" t="s">
        <v>919</v>
      </c>
    </row>
    <row r="215" spans="15:15" x14ac:dyDescent="0.35">
      <c r="O215" s="1" t="s">
        <v>920</v>
      </c>
    </row>
    <row r="216" spans="15:15" x14ac:dyDescent="0.35">
      <c r="O216" s="1" t="s">
        <v>921</v>
      </c>
    </row>
    <row r="217" spans="15:15" x14ac:dyDescent="0.35">
      <c r="O217" s="1" t="s">
        <v>922</v>
      </c>
    </row>
    <row r="218" spans="15:15" x14ac:dyDescent="0.35">
      <c r="O218" s="1" t="s">
        <v>923</v>
      </c>
    </row>
    <row r="219" spans="15:15" x14ac:dyDescent="0.35">
      <c r="O219" s="1" t="s">
        <v>924</v>
      </c>
    </row>
    <row r="220" spans="15:15" x14ac:dyDescent="0.35">
      <c r="O220" s="1" t="s">
        <v>925</v>
      </c>
    </row>
    <row r="221" spans="15:15" x14ac:dyDescent="0.35">
      <c r="O221" s="1" t="s">
        <v>926</v>
      </c>
    </row>
    <row r="222" spans="15:15" x14ac:dyDescent="0.35">
      <c r="O222" s="1" t="s">
        <v>927</v>
      </c>
    </row>
    <row r="223" spans="15:15" x14ac:dyDescent="0.35">
      <c r="O223" s="1" t="s">
        <v>928</v>
      </c>
    </row>
    <row r="224" spans="15:15" x14ac:dyDescent="0.35">
      <c r="O224" s="1" t="s">
        <v>929</v>
      </c>
    </row>
    <row r="225" spans="15:15" x14ac:dyDescent="0.35">
      <c r="O225" s="1" t="s">
        <v>930</v>
      </c>
    </row>
    <row r="226" spans="15:15" x14ac:dyDescent="0.35">
      <c r="O226" s="1" t="s">
        <v>931</v>
      </c>
    </row>
    <row r="227" spans="15:15" x14ac:dyDescent="0.35">
      <c r="O227" s="1" t="s">
        <v>932</v>
      </c>
    </row>
    <row r="228" spans="15:15" x14ac:dyDescent="0.35">
      <c r="O228" s="1" t="s">
        <v>933</v>
      </c>
    </row>
    <row r="229" spans="15:15" x14ac:dyDescent="0.35">
      <c r="O229" s="1" t="s">
        <v>934</v>
      </c>
    </row>
    <row r="230" spans="15:15" x14ac:dyDescent="0.35">
      <c r="O230" s="1" t="s">
        <v>935</v>
      </c>
    </row>
    <row r="231" spans="15:15" x14ac:dyDescent="0.35">
      <c r="O231" s="1" t="s">
        <v>936</v>
      </c>
    </row>
    <row r="232" spans="15:15" x14ac:dyDescent="0.35">
      <c r="O232" s="1" t="s">
        <v>937</v>
      </c>
    </row>
    <row r="233" spans="15:15" x14ac:dyDescent="0.35">
      <c r="O233" s="1" t="s">
        <v>938</v>
      </c>
    </row>
    <row r="234" spans="15:15" x14ac:dyDescent="0.35">
      <c r="O234" s="1" t="s">
        <v>939</v>
      </c>
    </row>
    <row r="235" spans="15:15" x14ac:dyDescent="0.35">
      <c r="O235" s="1" t="s">
        <v>940</v>
      </c>
    </row>
    <row r="236" spans="15:15" x14ac:dyDescent="0.35">
      <c r="O236" s="1" t="s">
        <v>941</v>
      </c>
    </row>
    <row r="237" spans="15:15" x14ac:dyDescent="0.35">
      <c r="O237" s="1" t="s">
        <v>942</v>
      </c>
    </row>
    <row r="238" spans="15:15" x14ac:dyDescent="0.35">
      <c r="O238" s="1" t="s">
        <v>943</v>
      </c>
    </row>
    <row r="239" spans="15:15" x14ac:dyDescent="0.35">
      <c r="O239" s="1" t="s">
        <v>944</v>
      </c>
    </row>
    <row r="240" spans="15:15" x14ac:dyDescent="0.35">
      <c r="O240" s="1" t="s">
        <v>945</v>
      </c>
    </row>
    <row r="241" spans="15:15" x14ac:dyDescent="0.35">
      <c r="O241" s="1" t="s">
        <v>946</v>
      </c>
    </row>
    <row r="242" spans="15:15" x14ac:dyDescent="0.35">
      <c r="O242" s="1" t="s">
        <v>947</v>
      </c>
    </row>
    <row r="243" spans="15:15" x14ac:dyDescent="0.35">
      <c r="O243" s="1" t="s">
        <v>948</v>
      </c>
    </row>
    <row r="244" spans="15:15" x14ac:dyDescent="0.35">
      <c r="O244" s="1" t="s">
        <v>949</v>
      </c>
    </row>
    <row r="245" spans="15:15" x14ac:dyDescent="0.35">
      <c r="O245" s="1" t="s">
        <v>950</v>
      </c>
    </row>
    <row r="246" spans="15:15" x14ac:dyDescent="0.35">
      <c r="O246" s="1" t="s">
        <v>951</v>
      </c>
    </row>
    <row r="247" spans="15:15" x14ac:dyDescent="0.35">
      <c r="O247" s="1" t="s">
        <v>952</v>
      </c>
    </row>
    <row r="248" spans="15:15" x14ac:dyDescent="0.35">
      <c r="O248" s="1" t="s">
        <v>953</v>
      </c>
    </row>
  </sheetData>
  <sortState xmlns:xlrd2="http://schemas.microsoft.com/office/spreadsheetml/2017/richdata2" ref="U24:U55">
    <sortCondition ref="U24:U55"/>
  </sortState>
  <mergeCells count="2">
    <mergeCell ref="B2:D2"/>
    <mergeCell ref="G2:J2"/>
  </mergeCells>
  <dataValidations count="1">
    <dataValidation type="list" allowBlank="1" showInputMessage="1" showErrorMessage="1" sqref="AZ30:AZ31" xr:uid="{00000000-0002-0000-0900-000000000000}">
      <formula1>INDIRECT(SUBSTITUTE($B$73," ",""))</formula1>
    </dataValidation>
  </dataValidation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9" tint="-0.249977111117893"/>
    <pageSetUpPr fitToPage="1"/>
  </sheetPr>
  <dimension ref="A2:M97"/>
  <sheetViews>
    <sheetView topLeftCell="A4" workbookViewId="0">
      <selection activeCell="B4" sqref="B4"/>
    </sheetView>
  </sheetViews>
  <sheetFormatPr defaultColWidth="8.54296875" defaultRowHeight="14.5" x14ac:dyDescent="0.35"/>
  <cols>
    <col min="1" max="1" width="2.54296875" style="1" customWidth="1"/>
    <col min="2" max="2" width="55.1796875" style="1" customWidth="1"/>
    <col min="3" max="8" width="14.81640625" style="1" customWidth="1"/>
    <col min="9" max="9" width="14.54296875" style="1" customWidth="1"/>
    <col min="10" max="10" width="27.1796875" style="1" customWidth="1"/>
    <col min="11" max="11" width="8.54296875" style="1" customWidth="1"/>
    <col min="12" max="12" width="35.81640625" style="1" customWidth="1"/>
    <col min="13" max="13" width="26.54296875" style="1" customWidth="1"/>
    <col min="14" max="14" width="8.54296875" style="1" customWidth="1"/>
    <col min="15" max="16384" width="8.54296875" style="1"/>
  </cols>
  <sheetData>
    <row r="2" spans="1:10" ht="19" thickBot="1" x14ac:dyDescent="0.5">
      <c r="B2" s="39" t="s">
        <v>1019</v>
      </c>
      <c r="F2" s="13"/>
    </row>
    <row r="3" spans="1:10" ht="43.5" customHeight="1" x14ac:dyDescent="0.35">
      <c r="B3" s="309" t="s">
        <v>1059</v>
      </c>
      <c r="C3" s="310"/>
      <c r="D3" s="310"/>
      <c r="E3" s="310"/>
      <c r="F3" s="310"/>
      <c r="G3" s="310"/>
      <c r="H3" s="310"/>
      <c r="I3" s="311"/>
    </row>
    <row r="4" spans="1:10" x14ac:dyDescent="0.35">
      <c r="B4" s="87" t="s">
        <v>1060</v>
      </c>
      <c r="C4" s="7"/>
      <c r="D4" s="7"/>
      <c r="E4" s="47"/>
      <c r="F4" s="7"/>
      <c r="G4" s="7"/>
      <c r="H4" s="7"/>
      <c r="I4" s="7"/>
    </row>
    <row r="5" spans="1:10" x14ac:dyDescent="0.35">
      <c r="A5" s="54"/>
      <c r="B5" s="230"/>
      <c r="C5" s="54"/>
      <c r="D5" s="54"/>
      <c r="E5" s="54"/>
      <c r="F5" s="54"/>
      <c r="G5" s="54"/>
      <c r="H5" s="54"/>
      <c r="I5" s="54"/>
      <c r="J5" s="54"/>
    </row>
    <row r="6" spans="1:10" ht="15.5" thickBot="1" x14ac:dyDescent="0.4">
      <c r="A6" s="197"/>
      <c r="B6" s="63"/>
      <c r="C6" s="245" t="s">
        <v>5</v>
      </c>
      <c r="D6" s="246"/>
      <c r="E6" s="246"/>
      <c r="F6" s="246"/>
      <c r="G6" s="253"/>
      <c r="H6" s="248"/>
      <c r="I6" s="253"/>
      <c r="J6" s="54"/>
    </row>
    <row r="7" spans="1:10" ht="19" thickBot="1" x14ac:dyDescent="0.4">
      <c r="B7" s="31" t="s">
        <v>32</v>
      </c>
      <c r="C7" s="16" t="s">
        <v>7</v>
      </c>
      <c r="D7" s="16" t="s">
        <v>8</v>
      </c>
      <c r="E7" s="16" t="s">
        <v>8</v>
      </c>
      <c r="F7" s="16" t="s">
        <v>9</v>
      </c>
      <c r="G7" s="68"/>
      <c r="J7" s="54"/>
    </row>
    <row r="8" spans="1:10" ht="15" thickBot="1" x14ac:dyDescent="0.4">
      <c r="A8" s="198"/>
      <c r="B8" s="63"/>
      <c r="C8" s="16" t="s">
        <v>11</v>
      </c>
      <c r="D8" s="16" t="s">
        <v>12</v>
      </c>
      <c r="E8" s="16" t="s">
        <v>13</v>
      </c>
      <c r="F8" s="16"/>
      <c r="G8" s="68"/>
      <c r="J8" s="54"/>
    </row>
    <row r="9" spans="1:10" ht="15" thickBot="1" x14ac:dyDescent="0.4">
      <c r="A9" s="26"/>
      <c r="B9" s="18" t="s">
        <v>1010</v>
      </c>
      <c r="C9" s="12">
        <f>C17+C24+C30+C56</f>
        <v>0</v>
      </c>
      <c r="D9" s="12">
        <f>D17+D24+D30+D56</f>
        <v>0</v>
      </c>
      <c r="E9" s="12">
        <f>E17+E24+E30+E56</f>
        <v>0</v>
      </c>
      <c r="F9" s="279">
        <f>F17+F24+F30+F56</f>
        <v>0</v>
      </c>
      <c r="G9" s="68"/>
    </row>
    <row r="10" spans="1:10" x14ac:dyDescent="0.35">
      <c r="A10" s="26"/>
      <c r="B10" s="63"/>
      <c r="C10" s="63"/>
      <c r="D10" s="63"/>
      <c r="E10" s="63"/>
      <c r="F10" s="256"/>
      <c r="G10" s="63"/>
      <c r="H10" s="249"/>
      <c r="I10" s="250"/>
      <c r="J10" s="63"/>
    </row>
    <row r="11" spans="1:10" x14ac:dyDescent="0.35">
      <c r="A11" s="26"/>
      <c r="B11" s="63"/>
      <c r="C11" s="63"/>
      <c r="D11" s="63"/>
      <c r="E11" s="80"/>
      <c r="F11" s="63"/>
      <c r="G11" s="63"/>
      <c r="H11" s="249"/>
      <c r="I11" s="250"/>
      <c r="J11" s="54"/>
    </row>
    <row r="12" spans="1:10" ht="19" customHeight="1" thickBot="1" x14ac:dyDescent="0.4">
      <c r="B12" s="31" t="s">
        <v>4</v>
      </c>
      <c r="C12" s="245" t="s">
        <v>5</v>
      </c>
      <c r="D12" s="246"/>
      <c r="E12" s="246"/>
      <c r="F12" s="246"/>
      <c r="G12" s="254"/>
      <c r="H12" s="252"/>
      <c r="I12" s="251"/>
      <c r="J12" s="54"/>
    </row>
    <row r="13" spans="1:10" ht="29.5" customHeight="1" thickBot="1" x14ac:dyDescent="0.4">
      <c r="B13" s="3" t="s">
        <v>6</v>
      </c>
      <c r="C13" s="16" t="s">
        <v>7</v>
      </c>
      <c r="D13" s="16" t="s">
        <v>8</v>
      </c>
      <c r="E13" s="16" t="s">
        <v>8</v>
      </c>
      <c r="F13" s="16" t="s">
        <v>9</v>
      </c>
      <c r="H13" s="27"/>
      <c r="I13" s="27"/>
    </row>
    <row r="14" spans="1:10" ht="15" thickBot="1" x14ac:dyDescent="0.4">
      <c r="B14" s="3"/>
      <c r="C14" s="16" t="s">
        <v>11</v>
      </c>
      <c r="D14" s="16" t="s">
        <v>12</v>
      </c>
      <c r="E14" s="16" t="s">
        <v>13</v>
      </c>
      <c r="F14" s="16"/>
    </row>
    <row r="15" spans="1:10" ht="15" thickBot="1" x14ac:dyDescent="0.4">
      <c r="B15" s="18" t="str">
        <f>'Adeiladau, Fflyd ac Offer '!B6</f>
        <v>Buildings</v>
      </c>
      <c r="C15" s="12">
        <f>SUM(BuildingsTable[Direct])</f>
        <v>0</v>
      </c>
      <c r="D15" s="12">
        <f>SUM(BuildingsTable[Indirect generation])</f>
        <v>0</v>
      </c>
      <c r="E15" s="12">
        <f>SUM(BuildingsTable[[Indirect service]:[Indirect WTT]])</f>
        <v>0</v>
      </c>
      <c r="F15" s="276">
        <f>SUM(C15:E15)</f>
        <v>0</v>
      </c>
      <c r="H15" s="13"/>
    </row>
    <row r="16" spans="1:10" ht="15" thickBot="1" x14ac:dyDescent="0.4">
      <c r="B16" s="261" t="s">
        <v>1006</v>
      </c>
      <c r="C16" s="239">
        <f>SUM(FleetTableFuel[Direct],FleetTableDistance[Direct])</f>
        <v>0</v>
      </c>
      <c r="D16" s="239">
        <f>SUM(FleetTableFuel[Indirect generation],FleetTableDistance[Indirect generation])</f>
        <v>0</v>
      </c>
      <c r="E16" s="239">
        <f>SUM(FleetTableFuel[[Indirect service]:[Indirect WTT]], FleetTableDistance[[Indirect service]:[Indirect WTT]])</f>
        <v>0</v>
      </c>
      <c r="F16" s="277">
        <f>SUM(C16:E16)</f>
        <v>0</v>
      </c>
    </row>
    <row r="17" spans="2:9" x14ac:dyDescent="0.35">
      <c r="B17" s="223" t="s">
        <v>1007</v>
      </c>
      <c r="C17" s="217">
        <f>SUM(C15:C16)</f>
        <v>0</v>
      </c>
      <c r="D17" s="217">
        <f>SUM(D15:D16)</f>
        <v>0</v>
      </c>
      <c r="E17" s="217">
        <f>SUM(E15:E16)</f>
        <v>0</v>
      </c>
      <c r="F17" s="217">
        <f>SUM(F15:F16)</f>
        <v>0</v>
      </c>
    </row>
    <row r="19" spans="2:9" ht="19" thickBot="1" x14ac:dyDescent="0.4">
      <c r="B19" s="31" t="s">
        <v>14</v>
      </c>
      <c r="C19" s="240" t="s">
        <v>5</v>
      </c>
      <c r="D19" s="241"/>
      <c r="E19" s="241"/>
      <c r="F19" s="241"/>
      <c r="G19" s="253"/>
      <c r="H19" s="253"/>
      <c r="I19" s="253"/>
    </row>
    <row r="20" spans="2:9" ht="29.5" customHeight="1" thickBot="1" x14ac:dyDescent="0.4">
      <c r="B20" s="3" t="s">
        <v>6</v>
      </c>
      <c r="C20" s="16" t="s">
        <v>7</v>
      </c>
      <c r="D20" s="16" t="s">
        <v>8</v>
      </c>
      <c r="E20" s="16" t="s">
        <v>8</v>
      </c>
      <c r="F20" s="16" t="s">
        <v>9</v>
      </c>
    </row>
    <row r="21" spans="2:9" ht="15" thickBot="1" x14ac:dyDescent="0.4">
      <c r="B21" s="3"/>
      <c r="C21" s="16" t="s">
        <v>11</v>
      </c>
      <c r="D21" s="16" t="s">
        <v>12</v>
      </c>
      <c r="E21" s="16" t="s">
        <v>13</v>
      </c>
      <c r="F21" s="16"/>
    </row>
    <row r="22" spans="2:9" ht="15" thickBot="1" x14ac:dyDescent="0.4">
      <c r="B22" s="18" t="s">
        <v>1009</v>
      </c>
      <c r="C22" s="12">
        <f>SUM(BusinessTable[Direct])</f>
        <v>0</v>
      </c>
      <c r="D22" s="12">
        <f>SUM(BusinessTable[Indirect generation])</f>
        <v>0</v>
      </c>
      <c r="E22" s="12">
        <f>SUM(BusinessTable[[Indirect service]:[Indirect WTT]])</f>
        <v>0</v>
      </c>
      <c r="F22" s="276">
        <f>SUM(C22:E22)</f>
        <v>0</v>
      </c>
    </row>
    <row r="23" spans="2:9" ht="15" thickBot="1" x14ac:dyDescent="0.4">
      <c r="B23" s="18" t="s">
        <v>1040</v>
      </c>
      <c r="C23" s="12">
        <f>SUM(CommutingTable[Direct])</f>
        <v>0</v>
      </c>
      <c r="D23" s="12">
        <f>SUM(CommutingTable[Indirect generation])</f>
        <v>0</v>
      </c>
      <c r="E23" s="12">
        <f>SUM(CommutingTable[[Indirect service]:[Indirect WTT]])</f>
        <v>0</v>
      </c>
      <c r="F23" s="276">
        <f>SUM(C23:E23)</f>
        <v>0</v>
      </c>
    </row>
    <row r="24" spans="2:9" ht="15" thickBot="1" x14ac:dyDescent="0.4">
      <c r="B24" s="20" t="s">
        <v>1041</v>
      </c>
      <c r="C24" s="21">
        <f>SUM(C22:C23)</f>
        <v>0</v>
      </c>
      <c r="D24" s="21">
        <f>SUM(D22:D23)</f>
        <v>0</v>
      </c>
      <c r="E24" s="21">
        <f>SUM(E22:E23)</f>
        <v>0</v>
      </c>
      <c r="F24" s="170">
        <f>SUM(F22:F23)</f>
        <v>0</v>
      </c>
    </row>
    <row r="26" spans="2:9" ht="18" customHeight="1" thickBot="1" x14ac:dyDescent="0.4">
      <c r="B26" s="31" t="s">
        <v>18</v>
      </c>
      <c r="C26" s="240" t="s">
        <v>5</v>
      </c>
      <c r="D26" s="241"/>
      <c r="E26" s="241"/>
      <c r="F26" s="241"/>
      <c r="G26" s="253"/>
      <c r="H26" s="253"/>
      <c r="I26" s="247"/>
    </row>
    <row r="27" spans="2:9" ht="29.5" customHeight="1" thickBot="1" x14ac:dyDescent="0.4">
      <c r="B27" s="3" t="s">
        <v>6</v>
      </c>
      <c r="C27" s="16" t="s">
        <v>7</v>
      </c>
      <c r="D27" s="16" t="s">
        <v>8</v>
      </c>
      <c r="E27" s="16" t="s">
        <v>8</v>
      </c>
      <c r="F27" s="16" t="s">
        <v>9</v>
      </c>
      <c r="H27" s="7"/>
    </row>
    <row r="28" spans="2:9" ht="15" thickBot="1" x14ac:dyDescent="0.4">
      <c r="B28" s="3"/>
      <c r="C28" s="16" t="s">
        <v>11</v>
      </c>
      <c r="D28" s="16" t="s">
        <v>12</v>
      </c>
      <c r="E28" s="16" t="s">
        <v>13</v>
      </c>
      <c r="F28" s="16"/>
      <c r="G28" s="26"/>
    </row>
    <row r="29" spans="2:9" ht="15" thickBot="1" x14ac:dyDescent="0.4">
      <c r="B29" s="18" t="s">
        <v>18</v>
      </c>
      <c r="C29" s="12">
        <f>SUM(OrganisationalWasteTable[Direct])</f>
        <v>0</v>
      </c>
      <c r="D29" s="12">
        <f>-SUM(OrganisationalWasteTable[Indirect generation])</f>
        <v>0</v>
      </c>
      <c r="E29" s="12">
        <f>SUM(OrganisationalWasteTable[[Indirect service]:[Indirect WTT]])</f>
        <v>0</v>
      </c>
      <c r="F29" s="277">
        <f>SUM(C29:E29)</f>
        <v>0</v>
      </c>
      <c r="H29" s="27"/>
    </row>
    <row r="30" spans="2:9" ht="15" thickBot="1" x14ac:dyDescent="0.4">
      <c r="B30" s="260" t="str">
        <f>B26</f>
        <v>Waste</v>
      </c>
      <c r="C30" s="21">
        <f>SUM(C29:C29)</f>
        <v>0</v>
      </c>
      <c r="D30" s="21">
        <f>SUM(D29:D29)</f>
        <v>0</v>
      </c>
      <c r="E30" s="21">
        <f>SUM(E29:E29)</f>
        <v>0</v>
      </c>
      <c r="F30" s="169">
        <f>SUM(F29:F29)</f>
        <v>0</v>
      </c>
    </row>
    <row r="33" spans="2:10" ht="19" thickBot="1" x14ac:dyDescent="0.4">
      <c r="B33" s="31" t="s">
        <v>968</v>
      </c>
      <c r="C33" s="312" t="s">
        <v>5</v>
      </c>
      <c r="D33" s="313"/>
      <c r="E33" s="313"/>
      <c r="F33" s="314"/>
      <c r="G33" s="255"/>
      <c r="H33" s="244"/>
      <c r="I33" s="242"/>
      <c r="J33" s="195"/>
    </row>
    <row r="34" spans="2:10" ht="35.5" customHeight="1" thickBot="1" x14ac:dyDescent="0.4">
      <c r="B34" s="3" t="s">
        <v>6</v>
      </c>
      <c r="C34" s="16" t="s">
        <v>7</v>
      </c>
      <c r="D34" s="16" t="s">
        <v>8</v>
      </c>
      <c r="E34" s="16" t="s">
        <v>8</v>
      </c>
      <c r="F34" s="16" t="s">
        <v>9</v>
      </c>
      <c r="G34" s="243"/>
      <c r="H34" s="27"/>
    </row>
    <row r="35" spans="2:10" ht="15" thickBot="1" x14ac:dyDescent="0.4">
      <c r="B35" s="3"/>
      <c r="C35" s="16" t="s">
        <v>11</v>
      </c>
      <c r="D35" s="16" t="s">
        <v>12</v>
      </c>
      <c r="E35" s="16" t="s">
        <v>13</v>
      </c>
      <c r="F35" s="16"/>
      <c r="G35" s="48"/>
    </row>
    <row r="36" spans="2:10" ht="15" thickBot="1" x14ac:dyDescent="0.4">
      <c r="B36" s="18" t="s">
        <v>31</v>
      </c>
      <c r="C36" s="6"/>
      <c r="D36" s="6"/>
      <c r="E36" s="196">
        <f>SUMIF(SupplyChainTier1[Supply chain group], B36, SupplyChainTier1[Tier 1 &amp; 2 combined emission])</f>
        <v>0</v>
      </c>
      <c r="F36" s="196">
        <f t="shared" ref="F36:F55" si="0">SUM(E36)</f>
        <v>0</v>
      </c>
      <c r="G36" s="49"/>
    </row>
    <row r="37" spans="2:10" ht="15" thickBot="1" x14ac:dyDescent="0.4">
      <c r="B37" s="18" t="s">
        <v>33</v>
      </c>
      <c r="C37" s="6"/>
      <c r="D37" s="6"/>
      <c r="E37" s="196">
        <f>SUMIF(SupplyChainTier1[Supply chain group], B37, SupplyChainTier1[Tier 1 &amp; 2 combined emission])</f>
        <v>0</v>
      </c>
      <c r="F37" s="196">
        <f t="shared" si="0"/>
        <v>0</v>
      </c>
      <c r="G37" s="44"/>
      <c r="I37" s="113"/>
      <c r="J37" s="49"/>
    </row>
    <row r="38" spans="2:10" ht="15" thickBot="1" x14ac:dyDescent="0.4">
      <c r="B38" s="18" t="s">
        <v>34</v>
      </c>
      <c r="C38" s="6"/>
      <c r="D38" s="6"/>
      <c r="E38" s="196">
        <f>SUMIF(SupplyChainTier1[Supply chain group], B38, SupplyChainTier1[Tier 1 &amp; 2 combined emission])</f>
        <v>0</v>
      </c>
      <c r="F38" s="196">
        <f t="shared" si="0"/>
        <v>0</v>
      </c>
      <c r="I38" s="113"/>
      <c r="J38" s="49"/>
    </row>
    <row r="39" spans="2:10" ht="15" thickBot="1" x14ac:dyDescent="0.4">
      <c r="B39" s="18" t="s">
        <v>35</v>
      </c>
      <c r="C39" s="6"/>
      <c r="D39" s="6"/>
      <c r="E39" s="196">
        <f>SUMIF(SupplyChainTier1[Supply chain group], B39, SupplyChainTier1[Tier 1 &amp; 2 combined emission])</f>
        <v>0</v>
      </c>
      <c r="F39" s="196">
        <f t="shared" si="0"/>
        <v>0</v>
      </c>
      <c r="I39" s="113"/>
      <c r="J39" s="49"/>
    </row>
    <row r="40" spans="2:10" ht="22.75" customHeight="1" thickBot="1" x14ac:dyDescent="0.4">
      <c r="B40" s="18" t="s">
        <v>36</v>
      </c>
      <c r="C40" s="6"/>
      <c r="D40" s="6"/>
      <c r="E40" s="196">
        <f>SUMIF(SupplyChainTier1[Supply chain group], B40, SupplyChainTier1[Tier 1 &amp; 2 combined emission])</f>
        <v>0</v>
      </c>
      <c r="F40" s="196">
        <f t="shared" si="0"/>
        <v>0</v>
      </c>
      <c r="I40" s="113"/>
      <c r="J40" s="49"/>
    </row>
    <row r="41" spans="2:10" ht="15" thickBot="1" x14ac:dyDescent="0.4">
      <c r="B41" s="18" t="s">
        <v>37</v>
      </c>
      <c r="C41" s="6"/>
      <c r="D41" s="6"/>
      <c r="E41" s="196">
        <f>SUMIF(SupplyChainTier1[Supply chain group], B41, SupplyChainTier1[Tier 1 &amp; 2 combined emission])</f>
        <v>0</v>
      </c>
      <c r="F41" s="196">
        <f t="shared" si="0"/>
        <v>0</v>
      </c>
      <c r="I41" s="113"/>
      <c r="J41" s="49"/>
    </row>
    <row r="42" spans="2:10" ht="15" thickBot="1" x14ac:dyDescent="0.4">
      <c r="B42" s="18" t="s">
        <v>38</v>
      </c>
      <c r="C42" s="6"/>
      <c r="D42" s="6"/>
      <c r="E42" s="196">
        <f>SUMIF(SupplyChainTier1[Supply chain group], B42, SupplyChainTier1[Tier 1 &amp; 2 combined emission])</f>
        <v>0</v>
      </c>
      <c r="F42" s="196">
        <f t="shared" si="0"/>
        <v>0</v>
      </c>
      <c r="I42" s="113"/>
      <c r="J42" s="49"/>
    </row>
    <row r="43" spans="2:10" ht="15" thickBot="1" x14ac:dyDescent="0.4">
      <c r="B43" s="18" t="s">
        <v>39</v>
      </c>
      <c r="C43" s="6"/>
      <c r="D43" s="6"/>
      <c r="E43" s="196">
        <f>SUMIF(SupplyChainTier1[Supply chain group], B43, SupplyChainTier1[Tier 1 &amp; 2 combined emission])</f>
        <v>0</v>
      </c>
      <c r="F43" s="196">
        <f t="shared" si="0"/>
        <v>0</v>
      </c>
      <c r="I43" s="113"/>
      <c r="J43" s="49"/>
    </row>
    <row r="44" spans="2:10" ht="15" thickBot="1" x14ac:dyDescent="0.4">
      <c r="B44" s="18" t="s">
        <v>40</v>
      </c>
      <c r="C44" s="6"/>
      <c r="D44" s="6"/>
      <c r="E44" s="196">
        <f>SUMIF(SupplyChainTier1[Supply chain group], B44, SupplyChainTier1[Tier 1 &amp; 2 combined emission])</f>
        <v>0</v>
      </c>
      <c r="F44" s="196">
        <f t="shared" si="0"/>
        <v>0</v>
      </c>
      <c r="I44" s="113"/>
      <c r="J44" s="49"/>
    </row>
    <row r="45" spans="2:10" ht="15" thickBot="1" x14ac:dyDescent="0.4">
      <c r="B45" s="18" t="s">
        <v>41</v>
      </c>
      <c r="C45" s="6"/>
      <c r="D45" s="6"/>
      <c r="E45" s="196">
        <f>SUMIF(SupplyChainTier1[Supply chain group], B45, SupplyChainTier1[Tier 1 &amp; 2 combined emission])</f>
        <v>0</v>
      </c>
      <c r="F45" s="196">
        <f t="shared" si="0"/>
        <v>0</v>
      </c>
      <c r="I45" s="113"/>
      <c r="J45" s="49"/>
    </row>
    <row r="46" spans="2:10" ht="15" thickBot="1" x14ac:dyDescent="0.4">
      <c r="B46" s="18" t="s">
        <v>42</v>
      </c>
      <c r="C46" s="6"/>
      <c r="D46" s="6"/>
      <c r="E46" s="196">
        <f>SUMIF(SupplyChainTier1[Supply chain group], B46, SupplyChainTier1[Tier 1 &amp; 2 combined emission])</f>
        <v>0</v>
      </c>
      <c r="F46" s="196">
        <f t="shared" si="0"/>
        <v>0</v>
      </c>
      <c r="H46" s="225"/>
      <c r="I46" s="113"/>
      <c r="J46" s="49"/>
    </row>
    <row r="47" spans="2:10" ht="15" thickBot="1" x14ac:dyDescent="0.4">
      <c r="B47" s="18" t="s">
        <v>43</v>
      </c>
      <c r="C47" s="6"/>
      <c r="D47" s="6"/>
      <c r="E47" s="196">
        <f>SUMIF(SupplyChainTier1[Supply chain group], B47, SupplyChainTier1[Tier 1 &amp; 2 combined emission])</f>
        <v>0</v>
      </c>
      <c r="F47" s="196">
        <f t="shared" si="0"/>
        <v>0</v>
      </c>
      <c r="I47" s="113"/>
      <c r="J47" s="49"/>
    </row>
    <row r="48" spans="2:10" ht="15" thickBot="1" x14ac:dyDescent="0.4">
      <c r="B48" s="18" t="s">
        <v>44</v>
      </c>
      <c r="C48" s="6"/>
      <c r="D48" s="6"/>
      <c r="E48" s="196">
        <f>SUMIF(SupplyChainTier1[Supply chain group], B48, SupplyChainTier1[Tier 1 &amp; 2 combined emission])</f>
        <v>0</v>
      </c>
      <c r="F48" s="196">
        <f t="shared" si="0"/>
        <v>0</v>
      </c>
      <c r="I48" s="113"/>
      <c r="J48" s="49"/>
    </row>
    <row r="49" spans="2:11" ht="15" thickBot="1" x14ac:dyDescent="0.4">
      <c r="B49" s="18" t="s">
        <v>45</v>
      </c>
      <c r="C49" s="6"/>
      <c r="D49" s="6"/>
      <c r="E49" s="196">
        <f>SUMIF(SupplyChainTier1[Supply chain group], B49, SupplyChainTier1[Tier 1 &amp; 2 combined emission])</f>
        <v>0</v>
      </c>
      <c r="F49" s="196">
        <f t="shared" si="0"/>
        <v>0</v>
      </c>
      <c r="I49" s="113"/>
      <c r="J49" s="49"/>
    </row>
    <row r="50" spans="2:11" ht="15" thickBot="1" x14ac:dyDescent="0.4">
      <c r="B50" s="18" t="s">
        <v>46</v>
      </c>
      <c r="C50" s="6"/>
      <c r="D50" s="6"/>
      <c r="E50" s="196">
        <f>SUMIF(SupplyChainTier1[Supply chain group], B50, SupplyChainTier1[Tier 1 &amp; 2 combined emission])</f>
        <v>0</v>
      </c>
      <c r="F50" s="196">
        <f t="shared" si="0"/>
        <v>0</v>
      </c>
      <c r="I50" s="113"/>
      <c r="J50" s="49"/>
    </row>
    <row r="51" spans="2:11" ht="15" thickBot="1" x14ac:dyDescent="0.4">
      <c r="B51" s="18" t="s">
        <v>1039</v>
      </c>
      <c r="C51" s="6"/>
      <c r="D51" s="6"/>
      <c r="E51" s="196">
        <f>SUMIF(SupplyChainTier1[Supply chain group], B51, SupplyChainTier1[Tier 1 &amp; 2 combined emission])</f>
        <v>0</v>
      </c>
      <c r="F51" s="196">
        <f t="shared" si="0"/>
        <v>0</v>
      </c>
      <c r="I51" s="113"/>
      <c r="J51" s="49"/>
    </row>
    <row r="52" spans="2:11" ht="15" thickBot="1" x14ac:dyDescent="0.4">
      <c r="B52" s="18" t="s">
        <v>48</v>
      </c>
      <c r="C52" s="6"/>
      <c r="D52" s="6"/>
      <c r="E52" s="196">
        <f>SUMIF(SupplyChainTier1[Supply chain group], B52, SupplyChainTier1[Tier 1 &amp; 2 combined emission])</f>
        <v>0</v>
      </c>
      <c r="F52" s="196">
        <f t="shared" si="0"/>
        <v>0</v>
      </c>
      <c r="I52" s="113"/>
      <c r="J52" s="49"/>
    </row>
    <row r="53" spans="2:11" ht="15" thickBot="1" x14ac:dyDescent="0.4">
      <c r="B53" s="18" t="s">
        <v>49</v>
      </c>
      <c r="C53" s="6"/>
      <c r="D53" s="6"/>
      <c r="E53" s="196">
        <f>SUMIF(SupplyChainTier1[Supply chain group], B53, SupplyChainTier1[Tier 1 &amp; 2 combined emission])</f>
        <v>0</v>
      </c>
      <c r="F53" s="196">
        <f t="shared" si="0"/>
        <v>0</v>
      </c>
      <c r="I53" s="113"/>
      <c r="J53" s="49"/>
    </row>
    <row r="54" spans="2:11" ht="15" thickBot="1" x14ac:dyDescent="0.4">
      <c r="B54" s="18" t="s">
        <v>50</v>
      </c>
      <c r="C54" s="6"/>
      <c r="D54" s="6"/>
      <c r="E54" s="196">
        <f>SUMIF(SupplyChainTier1[Supply chain group], B54, SupplyChainTier1[Tier 1 &amp; 2 combined emission])</f>
        <v>0</v>
      </c>
      <c r="F54" s="196">
        <f t="shared" si="0"/>
        <v>0</v>
      </c>
      <c r="G54" s="7"/>
      <c r="I54" s="114"/>
      <c r="J54" s="55"/>
    </row>
    <row r="55" spans="2:11" ht="26.5" thickBot="1" x14ac:dyDescent="0.4">
      <c r="B55" s="18" t="s">
        <v>51</v>
      </c>
      <c r="C55" s="6"/>
      <c r="D55" s="6"/>
      <c r="E55" s="196">
        <f>SUMIF(SupplyChainTier1[Supply chain group], B55, SupplyChainTier1[Tier 1 &amp; 2 combined emission])</f>
        <v>0</v>
      </c>
      <c r="F55" s="196">
        <f t="shared" si="0"/>
        <v>0</v>
      </c>
      <c r="G55" s="63"/>
      <c r="H55" s="68"/>
      <c r="I55" s="115"/>
      <c r="J55" s="59"/>
      <c r="K55" s="54"/>
    </row>
    <row r="56" spans="2:11" x14ac:dyDescent="0.35">
      <c r="B56" s="20" t="str">
        <f>B33</f>
        <v>Supply chain - Tier 1 and Tier 2 combined</v>
      </c>
      <c r="C56" s="21"/>
      <c r="D56" s="21"/>
      <c r="E56" s="21">
        <f>SUM(E36:E55)</f>
        <v>0</v>
      </c>
      <c r="F56" s="278">
        <f>SUM(F36:F55)</f>
        <v>0</v>
      </c>
      <c r="G56" s="63"/>
      <c r="H56" s="68"/>
      <c r="I56" s="116"/>
      <c r="J56" s="60"/>
      <c r="K56" s="54"/>
    </row>
    <row r="58" spans="2:11" ht="15" customHeight="1" x14ac:dyDescent="0.35"/>
    <row r="60" spans="2:11" ht="15" thickBot="1" x14ac:dyDescent="0.4"/>
    <row r="61" spans="2:11" ht="26.5" customHeight="1" thickBot="1" x14ac:dyDescent="0.4">
      <c r="B61" s="31" t="s">
        <v>22</v>
      </c>
      <c r="C61" s="307" t="s">
        <v>23</v>
      </c>
      <c r="D61" s="308"/>
      <c r="E61" s="48"/>
      <c r="F61" s="48"/>
      <c r="G61" s="48"/>
      <c r="H61" s="48"/>
      <c r="I61" s="48"/>
    </row>
    <row r="62" spans="2:11" ht="37.5" customHeight="1" thickBot="1" x14ac:dyDescent="0.4">
      <c r="B62" s="3" t="s">
        <v>6</v>
      </c>
      <c r="C62" s="16" t="s">
        <v>24</v>
      </c>
      <c r="D62" s="16" t="s">
        <v>25</v>
      </c>
      <c r="E62" s="48"/>
      <c r="F62" s="48"/>
      <c r="G62" s="48"/>
      <c r="H62" s="48"/>
      <c r="I62" s="48"/>
    </row>
    <row r="63" spans="2:11" ht="15" thickBot="1" x14ac:dyDescent="0.4">
      <c r="B63" s="3"/>
      <c r="C63" s="16" t="s">
        <v>11</v>
      </c>
      <c r="D63" s="16" t="s">
        <v>12</v>
      </c>
      <c r="E63" s="48"/>
      <c r="F63" s="48"/>
      <c r="G63" s="48"/>
      <c r="H63" s="48"/>
      <c r="I63" s="48"/>
    </row>
    <row r="64" spans="2:11" ht="15" thickBot="1" x14ac:dyDescent="0.4">
      <c r="B64" s="18" t="s">
        <v>26</v>
      </c>
      <c r="C64" s="12">
        <f>SUMIF(OnsiteRenewablesTable[Renewable Type], "Renewable heat", OnsiteRenewablesTable[Total kWh generated])</f>
        <v>0</v>
      </c>
      <c r="D64" s="12">
        <f>SUMIF(OnsiteRenewablesTable[Renewable Type], "Renewable heat", OnsiteRenewablesTable[kWh exported])</f>
        <v>0</v>
      </c>
      <c r="E64" s="81"/>
      <c r="F64" s="50"/>
      <c r="G64" s="51"/>
      <c r="H64" s="52"/>
      <c r="I64" s="52"/>
    </row>
    <row r="65" spans="2:11" ht="15" thickBot="1" x14ac:dyDescent="0.4">
      <c r="B65" s="18" t="s">
        <v>27</v>
      </c>
      <c r="C65" s="12">
        <f>SUMIF(OnsiteRenewablesTable[Renewable Type], "Renewable electricity", OnsiteRenewablesTable[Total kWh generated])</f>
        <v>0</v>
      </c>
      <c r="D65" s="12">
        <f>SUMIF(OnsiteRenewablesTable[Renewable Type], "Renewable electricity", OnsiteRenewablesTable[kWh exported])</f>
        <v>0</v>
      </c>
      <c r="E65" s="49"/>
      <c r="F65" s="50"/>
      <c r="G65" s="51"/>
      <c r="H65" s="52"/>
      <c r="I65" s="52"/>
    </row>
    <row r="66" spans="2:11" ht="15" thickBot="1" x14ac:dyDescent="0.4">
      <c r="B66" s="18" t="s">
        <v>28</v>
      </c>
      <c r="C66" s="12">
        <f>SUMIF(OnsiteRenewablesTable[Renewable Type], "Renewable CHP", OnsiteRenewablesTable[Total kWh generated])</f>
        <v>0</v>
      </c>
      <c r="D66" s="12">
        <f>SUMIF(OnsiteRenewablesTable[Renewable Type], "Renewable CHP", OnsiteRenewablesTable[kWh exported])</f>
        <v>0</v>
      </c>
      <c r="E66" s="55"/>
      <c r="F66" s="56"/>
      <c r="G66" s="57"/>
      <c r="H66" s="58"/>
      <c r="I66" s="58"/>
      <c r="J66" s="62"/>
    </row>
    <row r="67" spans="2:11" ht="15" thickBot="1" x14ac:dyDescent="0.4">
      <c r="B67" s="18" t="s">
        <v>29</v>
      </c>
      <c r="C67" s="12">
        <f>SUMIF(PurchasedRenewablesTable[Renewable Type], "Purchased renewable heat", PurchasedRenewablesTable[Total kWh purchased])</f>
        <v>0</v>
      </c>
      <c r="D67" s="171"/>
      <c r="E67" s="59"/>
      <c r="F67" s="59"/>
      <c r="G67" s="60"/>
      <c r="H67" s="61"/>
      <c r="I67" s="61"/>
      <c r="J67" s="63"/>
      <c r="K67" s="54"/>
    </row>
    <row r="68" spans="2:11" ht="15" thickBot="1" x14ac:dyDescent="0.4">
      <c r="B68" s="18" t="s">
        <v>30</v>
      </c>
      <c r="C68" s="12">
        <f>SUMIF(PurchasedRenewablesTable[Renewable Type], "Purchased renewable electricity", PurchasedRenewablesTable[Total kWh purchased])</f>
        <v>0</v>
      </c>
      <c r="D68" s="171"/>
      <c r="E68" s="59"/>
      <c r="F68" s="59"/>
      <c r="G68" s="60"/>
      <c r="H68" s="61"/>
      <c r="I68" s="61"/>
      <c r="J68" s="63"/>
      <c r="K68" s="54"/>
    </row>
    <row r="69" spans="2:11" x14ac:dyDescent="0.35">
      <c r="B69" s="20" t="str">
        <f>B61</f>
        <v>Renewables</v>
      </c>
      <c r="C69" s="21">
        <f>SUM(C64:C68)</f>
        <v>0</v>
      </c>
      <c r="D69" s="53">
        <f>SUM(D64:D68)</f>
        <v>0</v>
      </c>
      <c r="E69" s="27"/>
      <c r="F69" s="27"/>
      <c r="G69" s="27"/>
      <c r="H69" s="27"/>
      <c r="I69" s="46"/>
      <c r="J69" s="46"/>
    </row>
    <row r="70" spans="2:11" x14ac:dyDescent="0.35">
      <c r="I70" s="44"/>
      <c r="J70" s="44"/>
    </row>
    <row r="71" spans="2:11" x14ac:dyDescent="0.35">
      <c r="I71" s="44"/>
      <c r="J71" s="44"/>
    </row>
    <row r="96" spans="6:13" x14ac:dyDescent="0.35">
      <c r="F96" s="26"/>
      <c r="G96" s="63"/>
      <c r="H96" s="63"/>
      <c r="I96" s="63"/>
      <c r="J96" s="63"/>
      <c r="K96" s="54"/>
      <c r="L96" s="27"/>
      <c r="M96" s="27"/>
    </row>
    <row r="97" spans="7:10" x14ac:dyDescent="0.35">
      <c r="G97" s="27"/>
      <c r="H97" s="27"/>
      <c r="I97" s="27"/>
      <c r="J97" s="27"/>
    </row>
  </sheetData>
  <mergeCells count="3">
    <mergeCell ref="C61:D61"/>
    <mergeCell ref="B3:I3"/>
    <mergeCell ref="C33:F33"/>
  </mergeCells>
  <dataValidations count="1">
    <dataValidation type="list" allowBlank="1" showInputMessage="1" showErrorMessage="1" sqref="B22:B23 B29 B36:B55 B64:B68 B15:B16" xr:uid="{00000000-0002-0000-0100-000000000000}">
      <formula1>Type</formula1>
    </dataValidation>
  </dataValidations>
  <pageMargins left="0.7" right="0.7" top="0.75" bottom="0.75" header="0.3" footer="0.3"/>
  <pageSetup paperSize="8" scale="7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27CCF9"/>
    <pageSetUpPr fitToPage="1"/>
  </sheetPr>
  <dimension ref="A1:Z70"/>
  <sheetViews>
    <sheetView tabSelected="1" topLeftCell="A4" workbookViewId="0">
      <selection activeCell="C14" sqref="C14"/>
    </sheetView>
  </sheetViews>
  <sheetFormatPr defaultColWidth="8.54296875" defaultRowHeight="14.5" x14ac:dyDescent="0.35"/>
  <cols>
    <col min="1" max="1" width="1.81640625" style="127" customWidth="1"/>
    <col min="2" max="2" width="27.81640625" style="121" customWidth="1"/>
    <col min="3" max="3" width="29.453125" style="121" customWidth="1"/>
    <col min="4" max="4" width="20.1796875" style="121" customWidth="1"/>
    <col min="5" max="5" width="16.81640625" style="121" customWidth="1"/>
    <col min="6" max="6" width="11.453125" style="121" customWidth="1"/>
    <col min="7" max="7" width="14.81640625" style="121" customWidth="1"/>
    <col min="8" max="8" width="11.453125" style="121" customWidth="1"/>
    <col min="9" max="9" width="19.54296875" style="121" customWidth="1"/>
    <col min="10" max="10" width="19" style="121" customWidth="1"/>
    <col min="11" max="11" width="19.453125" style="121" customWidth="1"/>
    <col min="12" max="12" width="18.81640625" style="121" customWidth="1"/>
    <col min="13" max="13" width="20.54296875" style="121" customWidth="1"/>
    <col min="14" max="14" width="22.453125" style="121" customWidth="1"/>
    <col min="15" max="15" width="12.1796875" style="121" customWidth="1"/>
    <col min="16" max="16" width="13.1796875" style="121" customWidth="1"/>
    <col min="17" max="17" width="12.1796875" style="121" customWidth="1"/>
    <col min="18" max="18" width="20" style="121" customWidth="1"/>
    <col min="19" max="19" width="11.54296875" style="121" customWidth="1"/>
    <col min="20" max="20" width="12" style="121" customWidth="1"/>
    <col min="21" max="21" width="11.1796875" style="121" customWidth="1"/>
    <col min="22" max="22" width="10.81640625" style="121" customWidth="1"/>
    <col min="23" max="23" width="8.54296875" style="121" customWidth="1"/>
    <col min="24" max="16384" width="8.54296875" style="121"/>
  </cols>
  <sheetData>
    <row r="1" spans="1:22" s="1" customFormat="1" ht="15" thickBot="1" x14ac:dyDescent="0.4">
      <c r="A1" s="35"/>
      <c r="D1" s="13"/>
      <c r="N1" s="141" t="s">
        <v>1025</v>
      </c>
      <c r="O1" s="328" t="s">
        <v>1026</v>
      </c>
      <c r="P1" s="329"/>
      <c r="Q1" s="315" t="s">
        <v>1027</v>
      </c>
      <c r="R1" s="316"/>
      <c r="S1" s="54"/>
    </row>
    <row r="2" spans="1:22" s="1" customFormat="1" ht="19" thickBot="1" x14ac:dyDescent="0.4">
      <c r="A2" s="35"/>
      <c r="B2" s="319" t="s">
        <v>1020</v>
      </c>
      <c r="C2" s="320"/>
      <c r="D2" s="320"/>
      <c r="E2" s="320"/>
      <c r="F2" s="320"/>
      <c r="G2" s="320"/>
      <c r="H2" s="320"/>
      <c r="I2" s="320"/>
      <c r="J2" s="320"/>
      <c r="K2" s="320"/>
      <c r="L2" s="320"/>
      <c r="M2" s="321"/>
      <c r="N2" s="26"/>
      <c r="O2" s="326" t="s">
        <v>1028</v>
      </c>
      <c r="P2" s="327"/>
      <c r="Q2" s="317" t="s">
        <v>1029</v>
      </c>
      <c r="R2" s="318"/>
      <c r="S2" s="54"/>
    </row>
    <row r="3" spans="1:22" s="1" customFormat="1" ht="77.25" customHeight="1" thickBot="1" x14ac:dyDescent="0.4">
      <c r="A3" s="35"/>
      <c r="B3" s="322" t="s">
        <v>1057</v>
      </c>
      <c r="C3" s="323"/>
      <c r="D3" s="323"/>
      <c r="E3" s="323"/>
      <c r="F3" s="323"/>
      <c r="G3" s="323"/>
      <c r="H3" s="323"/>
      <c r="I3" s="323"/>
      <c r="J3" s="323"/>
      <c r="K3" s="323"/>
      <c r="L3" s="323"/>
      <c r="M3" s="324"/>
      <c r="O3" s="27"/>
      <c r="P3" s="27"/>
      <c r="Q3" s="27"/>
      <c r="R3" s="27"/>
    </row>
    <row r="4" spans="1:22" s="1" customFormat="1" ht="120.75" customHeight="1" x14ac:dyDescent="0.35">
      <c r="A4" s="35"/>
      <c r="B4" s="325" t="s">
        <v>1058</v>
      </c>
      <c r="C4" s="323"/>
      <c r="D4" s="323"/>
      <c r="E4" s="323"/>
      <c r="F4" s="323"/>
      <c r="G4" s="323"/>
      <c r="H4" s="323"/>
      <c r="I4" s="323"/>
      <c r="J4" s="323"/>
      <c r="K4" s="323"/>
      <c r="L4" s="323"/>
      <c r="M4" s="324"/>
      <c r="O4" s="13"/>
    </row>
    <row r="5" spans="1:22" s="1" customFormat="1" ht="15.75" customHeight="1" x14ac:dyDescent="0.35">
      <c r="A5" s="35"/>
      <c r="B5" s="236"/>
      <c r="C5" s="236"/>
      <c r="D5" s="236"/>
      <c r="E5" s="236"/>
      <c r="F5" s="236"/>
      <c r="G5" s="236"/>
      <c r="H5" s="238"/>
      <c r="I5" s="238"/>
      <c r="J5" s="238"/>
      <c r="K5" s="236"/>
      <c r="L5" s="238"/>
      <c r="M5" s="238"/>
      <c r="N5" s="7"/>
      <c r="O5" s="13"/>
      <c r="V5" s="7"/>
    </row>
    <row r="6" spans="1:22" s="1" customFormat="1" ht="19" thickBot="1" x14ac:dyDescent="0.5">
      <c r="A6" s="35"/>
      <c r="B6" s="257" t="s">
        <v>52</v>
      </c>
      <c r="C6" s="258"/>
      <c r="D6" s="131"/>
      <c r="E6" s="131"/>
      <c r="F6" s="237"/>
      <c r="G6" s="237"/>
      <c r="H6" s="131"/>
      <c r="I6" s="235" t="str">
        <f>IFERROR(IF(SUM(BuildingsTable[Total EF (kgCO2e/unit)])&gt;0,"No errors in this table","No data entered"), "There is an error in this table, see highlighted row(s)")</f>
        <v>No data entered</v>
      </c>
      <c r="J6" s="131"/>
      <c r="K6" s="131"/>
      <c r="L6" s="40" t="s">
        <v>765</v>
      </c>
      <c r="M6" s="7"/>
      <c r="N6" s="7"/>
      <c r="T6" s="44"/>
      <c r="V6" s="7"/>
    </row>
    <row r="7" spans="1:22" s="1" customFormat="1" ht="35.25" customHeight="1" thickBot="1" x14ac:dyDescent="0.4">
      <c r="A7" s="142"/>
      <c r="B7" s="41" t="s">
        <v>54</v>
      </c>
      <c r="C7" s="28" t="s">
        <v>55</v>
      </c>
      <c r="D7" s="28" t="s">
        <v>56</v>
      </c>
      <c r="E7" s="28" t="s">
        <v>59</v>
      </c>
      <c r="F7" s="28" t="s">
        <v>60</v>
      </c>
      <c r="G7" s="28" t="s">
        <v>61</v>
      </c>
      <c r="H7" s="28" t="s">
        <v>62</v>
      </c>
      <c r="I7" s="28" t="s">
        <v>763</v>
      </c>
      <c r="J7" s="28" t="s">
        <v>764</v>
      </c>
      <c r="K7" s="28" t="s">
        <v>64</v>
      </c>
      <c r="L7" s="8" t="s">
        <v>7</v>
      </c>
      <c r="M7" s="8" t="s">
        <v>65</v>
      </c>
      <c r="N7" s="8" t="s">
        <v>66</v>
      </c>
      <c r="O7" s="8" t="s">
        <v>67</v>
      </c>
      <c r="P7" s="8" t="s">
        <v>68</v>
      </c>
      <c r="Q7" s="54"/>
    </row>
    <row r="8" spans="1:22" s="1" customFormat="1" ht="15" thickBot="1" x14ac:dyDescent="0.4">
      <c r="A8" s="142"/>
      <c r="B8" s="126"/>
      <c r="C8" s="123"/>
      <c r="D8" s="123"/>
      <c r="E8" s="120"/>
      <c r="F8" s="123"/>
      <c r="G8" s="125" t="str">
        <f t="array" ref="G8">IF(OR($C8="",$B8="",$E8="",$F8=""),"",IF(F8=H8,E8,(INDEX('Ffactorau Allyriadau'!$K$3:$V$201,MATCH(C8&amp;D8,'Ffactorau Allyriadau'!$J$3:$J$201&amp;'Ffactorau Allyriadau'!$K$3:$K$201,0),MATCH(G$7,'Ffactorau Allyriadau'!$K$2:$V$2,0)))*E8))</f>
        <v/>
      </c>
      <c r="H8" s="29" t="str">
        <f>IF(OR($C8="",$B8="",$E8="",$F8=""),"",INDEX('Ffactorau Allyriadau'!$K$3:$V$201,MATCH('Adeiladau, Fflyd ac Offer '!$C8,'Ffactorau Allyriadau'!$J$3:$J$201,0),MATCH($H$7,'Ffactorau Allyriadau'!$K$2:$V$2,0)))</f>
        <v/>
      </c>
      <c r="I8" s="143" t="str">
        <f t="array" ref="I8">IF(OR(C8="",E8="",BuildingsTable[[#This Row],[Units]]=""),"",INDEX('Ffactorau Allyriadau'!$K$3:$V$201,MATCH('Adeiladau, Fflyd ac Offer '!$C8&amp;D8,'Ffactorau Allyriadau'!$J$3:$J$201&amp;'Ffactorau Allyriadau'!$K$3:$K$201,0),MATCH('Adeiladau, Fflyd ac Offer '!$I$7,'Ffactorau Allyriadau'!$K$2:$V$2,0)))</f>
        <v/>
      </c>
      <c r="J8" s="208" t="str">
        <f>IF(OR(G8="",I8=""),"",SUM(BuildingsTable[[#This Row],[Direct]:[Indirect WTT]]))</f>
        <v/>
      </c>
      <c r="K8" s="122"/>
      <c r="L8" s="209" t="str">
        <f t="array" ref="L8">IF(OR($C8="",$E8=""),"",(INDEX('Ffactorau Allyriadau'!$K$3:$V$201,MATCH('Adeiladau, Fflyd ac Offer '!$C8&amp;$D8,'Ffactorau Allyriadau'!$J$3:$J$201&amp;'Ffactorau Allyriadau'!$K$3:$K$201,0),MATCH('Adeiladau, Fflyd ac Offer '!L$7,'Ffactorau Allyriadau'!$K$2:$V$2,0)))*$G8)</f>
        <v/>
      </c>
      <c r="M8" s="209" t="str">
        <f t="array" ref="M8">IF(OR($C8="",$E8=""),"",(INDEX('Ffactorau Allyriadau'!$K$3:$V$201,MATCH('Adeiladau, Fflyd ac Offer '!$C8&amp;$D8,'Ffactorau Allyriadau'!$J$3:$J$201&amp;'Ffactorau Allyriadau'!$K$3:$K$201,0),MATCH('Adeiladau, Fflyd ac Offer '!M$7,'Ffactorau Allyriadau'!$K$2:$V$2,0)))*$G8)</f>
        <v/>
      </c>
      <c r="N8" s="209" t="str">
        <f t="array" ref="N8">IF(OR($C8="",$E8=""),"",(INDEX('Ffactorau Allyriadau'!$K$3:$V$201,MATCH('Adeiladau, Fflyd ac Offer '!$C8&amp;$D8,'Ffactorau Allyriadau'!$J$3:$J$201&amp;'Ffactorau Allyriadau'!$K$3:$K$201,0),MATCH('Adeiladau, Fflyd ac Offer '!N$7,'Ffactorau Allyriadau'!$K$2:$V$2,0)))*$G8)</f>
        <v/>
      </c>
      <c r="O8" s="209" t="str">
        <f t="array" ref="O8">IF(OR($C8="",$E8=""),"",(INDEX('Ffactorau Allyriadau'!$K$3:$V$201,MATCH('Adeiladau, Fflyd ac Offer '!$C8&amp;$D8,'Ffactorau Allyriadau'!$J$3:$J$201&amp;'Ffactorau Allyriadau'!$K$3:$K$201,0),MATCH('Adeiladau, Fflyd ac Offer '!O$7,'Ffactorau Allyriadau'!$K$2:$V$2,0)))*$G8)</f>
        <v/>
      </c>
      <c r="P8" s="209" t="str">
        <f t="array" ref="P8">IF(OR($C8="",$E8=""),"",(INDEX('Ffactorau Allyriadau'!$K$3:$V$201,MATCH('Adeiladau, Fflyd ac Offer '!$C8&amp;$D8,'Ffactorau Allyriadau'!$J$3:$J$201&amp;'Ffactorau Allyriadau'!$K$3:$K$201,0),MATCH('Adeiladau, Fflyd ac Offer '!P$7,'Ffactorau Allyriadau'!$K$2:$V$2,0)))*$G8)</f>
        <v/>
      </c>
      <c r="Q8" s="54"/>
    </row>
    <row r="9" spans="1:22" s="1" customFormat="1" ht="15" thickBot="1" x14ac:dyDescent="0.4">
      <c r="A9" s="142"/>
      <c r="B9" s="126"/>
      <c r="C9" s="123"/>
      <c r="D9" s="123"/>
      <c r="E9" s="120"/>
      <c r="F9" s="123"/>
      <c r="G9" s="125" t="str">
        <f t="array" ref="G9">IF(OR($C9="",$B9="",$E9="",$F9=""),"",IF(F9=H9,E9,(INDEX('Ffactorau Allyriadau'!$K$3:$V$201,MATCH(C9&amp;D9,'Ffactorau Allyriadau'!$J$3:$J$201&amp;'Ffactorau Allyriadau'!$K$3:$K$201,0),MATCH(G$7,'Ffactorau Allyriadau'!$K$2:$V$2,0)))*E9))</f>
        <v/>
      </c>
      <c r="H9" s="29" t="str">
        <f>IF(OR($C9="",$B9="",$E9="",$F9=""),"",INDEX('Ffactorau Allyriadau'!$K$3:$V$201,MATCH('Adeiladau, Fflyd ac Offer '!$C9,'Ffactorau Allyriadau'!$J$3:$J$201,0),MATCH($H$7,'Ffactorau Allyriadau'!$K$2:$V$2,0)))</f>
        <v/>
      </c>
      <c r="I9" s="143" t="str">
        <f t="array" ref="I9">IF(OR(C9="",E9="",BuildingsTable[[#This Row],[Units]]=""),"",INDEX('Ffactorau Allyriadau'!$K$3:$V$201,MATCH('Adeiladau, Fflyd ac Offer '!$C9&amp;D9,'Ffactorau Allyriadau'!$J$3:$J$201&amp;'Ffactorau Allyriadau'!$K$3:$K$201,0),MATCH('Adeiladau, Fflyd ac Offer '!$I$7,'Ffactorau Allyriadau'!$K$2:$V$2,0)))</f>
        <v/>
      </c>
      <c r="J9" s="208" t="str">
        <f>IF(OR(G9="",I9=""),"",SUM(BuildingsTable[[#This Row],[Direct]:[Indirect WTT]]))</f>
        <v/>
      </c>
      <c r="K9" s="122"/>
      <c r="L9" s="209" t="str">
        <f t="array" ref="L9">IF(OR($C9="",$E9=""),"",(INDEX('Ffactorau Allyriadau'!$K$3:$V$201,MATCH('Adeiladau, Fflyd ac Offer '!$C9&amp;$D9,'Ffactorau Allyriadau'!$J$3:$J$201&amp;'Ffactorau Allyriadau'!$K$3:$K$201,0),MATCH('Adeiladau, Fflyd ac Offer '!L$7,'Ffactorau Allyriadau'!$K$2:$V$2,0)))*$G9)</f>
        <v/>
      </c>
      <c r="M9" s="209" t="str">
        <f t="array" ref="M9">IF(OR($C9="",$E9=""),"",(INDEX('Ffactorau Allyriadau'!$K$3:$V$201,MATCH('Adeiladau, Fflyd ac Offer '!$C9&amp;$D9,'Ffactorau Allyriadau'!$J$3:$J$201&amp;'Ffactorau Allyriadau'!$K$3:$K$201,0),MATCH('Adeiladau, Fflyd ac Offer '!M$7,'Ffactorau Allyriadau'!$K$2:$V$2,0)))*$G9)</f>
        <v/>
      </c>
      <c r="N9" s="209" t="str">
        <f t="array" ref="N9">IF(OR($C9="",$E9=""),"",(INDEX('Ffactorau Allyriadau'!$K$3:$V$201,MATCH('Adeiladau, Fflyd ac Offer '!$C9&amp;$D9,'Ffactorau Allyriadau'!$J$3:$J$201&amp;'Ffactorau Allyriadau'!$K$3:$K$201,0),MATCH('Adeiladau, Fflyd ac Offer '!N$7,'Ffactorau Allyriadau'!$K$2:$V$2,0)))*$G9)</f>
        <v/>
      </c>
      <c r="O9" s="209" t="str">
        <f t="array" ref="O9">IF(OR($C9="",$E9=""),"",(INDEX('Ffactorau Allyriadau'!$K$3:$V$201,MATCH('Adeiladau, Fflyd ac Offer '!$C9&amp;$D9,'Ffactorau Allyriadau'!$J$3:$J$201&amp;'Ffactorau Allyriadau'!$K$3:$K$201,0),MATCH('Adeiladau, Fflyd ac Offer '!O$7,'Ffactorau Allyriadau'!$K$2:$V$2,0)))*$G9)</f>
        <v/>
      </c>
      <c r="P9" s="209" t="str">
        <f t="array" ref="P9">IF(OR($C9="",$E9=""),"",(INDEX('Ffactorau Allyriadau'!$K$3:$V$201,MATCH('Adeiladau, Fflyd ac Offer '!$C9&amp;$D9,'Ffactorau Allyriadau'!$J$3:$J$201&amp;'Ffactorau Allyriadau'!$K$3:$K$201,0),MATCH('Adeiladau, Fflyd ac Offer '!P$7,'Ffactorau Allyriadau'!$K$2:$V$2,0)))*$G9)</f>
        <v/>
      </c>
      <c r="Q9" s="54"/>
    </row>
    <row r="10" spans="1:22" s="1" customFormat="1" ht="15" thickBot="1" x14ac:dyDescent="0.4">
      <c r="A10" s="142"/>
      <c r="B10" s="126"/>
      <c r="C10" s="123"/>
      <c r="D10" s="123"/>
      <c r="E10" s="120"/>
      <c r="F10" s="123"/>
      <c r="G10" s="125" t="str">
        <f t="array" ref="G10">IF(OR($C10="",$B10="",$E10="",$F10=""),"",IF(F10=H10,E10,(INDEX('Ffactorau Allyriadau'!$K$3:$V$201,MATCH(C10&amp;D10,'Ffactorau Allyriadau'!$J$3:$J$201&amp;'Ffactorau Allyriadau'!$K$3:$K$201,0),MATCH(G$7,'Ffactorau Allyriadau'!$K$2:$V$2,0)))*E10))</f>
        <v/>
      </c>
      <c r="H10" s="29" t="str">
        <f>IF(OR($C10="",$B10="",$E10="",$F10=""),"",INDEX('Ffactorau Allyriadau'!$K$3:$V$201,MATCH('Adeiladau, Fflyd ac Offer '!$C10,'Ffactorau Allyriadau'!$J$3:$J$201,0),MATCH($H$7,'Ffactorau Allyriadau'!$K$2:$V$2,0)))</f>
        <v/>
      </c>
      <c r="I10" s="143" t="str">
        <f t="array" ref="I10">IF(OR(C10="",E10="",BuildingsTable[[#This Row],[Units]]=""),"",INDEX('Ffactorau Allyriadau'!$K$3:$V$201,MATCH('Adeiladau, Fflyd ac Offer '!$C10&amp;D10,'Ffactorau Allyriadau'!$J$3:$J$201&amp;'Ffactorau Allyriadau'!$K$3:$K$201,0),MATCH('Adeiladau, Fflyd ac Offer '!$I$7,'Ffactorau Allyriadau'!$K$2:$V$2,0)))</f>
        <v/>
      </c>
      <c r="J10" s="208" t="str">
        <f>IF(OR(G10="",I10=""),"",SUM(BuildingsTable[[#This Row],[Direct]:[Indirect WTT]]))</f>
        <v/>
      </c>
      <c r="K10" s="122"/>
      <c r="L10" s="209" t="str">
        <f t="array" ref="L10">IF(OR($C10="",$E10=""),"",(INDEX('Ffactorau Allyriadau'!$K$3:$V$201,MATCH('Adeiladau, Fflyd ac Offer '!$C10&amp;$D10,'Ffactorau Allyriadau'!$J$3:$J$201&amp;'Ffactorau Allyriadau'!$K$3:$K$201,0),MATCH('Adeiladau, Fflyd ac Offer '!L$7,'Ffactorau Allyriadau'!$K$2:$V$2,0)))*$G10)</f>
        <v/>
      </c>
      <c r="M10" s="209" t="str">
        <f t="array" ref="M10">IF(OR($C10="",$E10=""),"",(INDEX('Ffactorau Allyriadau'!$K$3:$V$201,MATCH('Adeiladau, Fflyd ac Offer '!$C10&amp;$D10,'Ffactorau Allyriadau'!$J$3:$J$201&amp;'Ffactorau Allyriadau'!$K$3:$K$201,0),MATCH('Adeiladau, Fflyd ac Offer '!M$7,'Ffactorau Allyriadau'!$K$2:$V$2,0)))*$G10)</f>
        <v/>
      </c>
      <c r="N10" s="209" t="str">
        <f t="array" ref="N10">IF(OR($C10="",$E10=""),"",(INDEX('Ffactorau Allyriadau'!$K$3:$V$201,MATCH('Adeiladau, Fflyd ac Offer '!$C10&amp;$D10,'Ffactorau Allyriadau'!$J$3:$J$201&amp;'Ffactorau Allyriadau'!$K$3:$K$201,0),MATCH('Adeiladau, Fflyd ac Offer '!N$7,'Ffactorau Allyriadau'!$K$2:$V$2,0)))*$G10)</f>
        <v/>
      </c>
      <c r="O10" s="209" t="str">
        <f t="array" ref="O10">IF(OR($C10="",$E10=""),"",(INDEX('Ffactorau Allyriadau'!$K$3:$V$201,MATCH('Adeiladau, Fflyd ac Offer '!$C10&amp;$D10,'Ffactorau Allyriadau'!$J$3:$J$201&amp;'Ffactorau Allyriadau'!$K$3:$K$201,0),MATCH('Adeiladau, Fflyd ac Offer '!O$7,'Ffactorau Allyriadau'!$K$2:$V$2,0)))*$G10)</f>
        <v/>
      </c>
      <c r="P10" s="209" t="str">
        <f t="array" ref="P10">IF(OR($C10="",$E10=""),"",(INDEX('Ffactorau Allyriadau'!$K$3:$V$201,MATCH('Adeiladau, Fflyd ac Offer '!$C10&amp;$D10,'Ffactorau Allyriadau'!$J$3:$J$201&amp;'Ffactorau Allyriadau'!$K$3:$K$201,0),MATCH('Adeiladau, Fflyd ac Offer '!P$7,'Ffactorau Allyriadau'!$K$2:$V$2,0)))*$G10)</f>
        <v/>
      </c>
      <c r="Q10" s="54"/>
    </row>
    <row r="11" spans="1:22" s="1" customFormat="1" ht="15" thickBot="1" x14ac:dyDescent="0.4">
      <c r="A11" s="142"/>
      <c r="B11" s="126"/>
      <c r="C11" s="123"/>
      <c r="D11" s="123"/>
      <c r="E11" s="120"/>
      <c r="F11" s="123"/>
      <c r="G11" s="125" t="str">
        <f t="array" ref="G11">IF(OR($C11="",$B11="",$E11="",$F11=""),"",IF(F11=H11,E11,(INDEX('Ffactorau Allyriadau'!$K$3:$V$201,MATCH(C11&amp;D11,'Ffactorau Allyriadau'!$J$3:$J$201&amp;'Ffactorau Allyriadau'!$K$3:$K$201,0),MATCH(G$7,'Ffactorau Allyriadau'!$K$2:$V$2,0)))*E11))</f>
        <v/>
      </c>
      <c r="H11" s="29" t="str">
        <f>IF(OR($C11="",$B11="",$E11="",$F11=""),"",INDEX('Ffactorau Allyriadau'!$K$3:$V$201,MATCH('Adeiladau, Fflyd ac Offer '!$C11,'Ffactorau Allyriadau'!$J$3:$J$201,0),MATCH($H$7,'Ffactorau Allyriadau'!$K$2:$V$2,0)))</f>
        <v/>
      </c>
      <c r="I11" s="143" t="str">
        <f t="array" ref="I11">IF(OR(C11="",E11="",BuildingsTable[[#This Row],[Units]]=""),"",INDEX('Ffactorau Allyriadau'!$K$3:$V$201,MATCH('Adeiladau, Fflyd ac Offer '!$C11&amp;D11,'Ffactorau Allyriadau'!$J$3:$J$201&amp;'Ffactorau Allyriadau'!$K$3:$K$201,0),MATCH('Adeiladau, Fflyd ac Offer '!$I$7,'Ffactorau Allyriadau'!$K$2:$V$2,0)))</f>
        <v/>
      </c>
      <c r="J11" s="208" t="str">
        <f>IF(OR(G11="",I11=""),"",SUM(BuildingsTable[[#This Row],[Direct]:[Indirect WTT]]))</f>
        <v/>
      </c>
      <c r="K11" s="122"/>
      <c r="L11" s="209" t="str">
        <f t="array" ref="L11">IF(OR($C11="",$E11=""),"",(INDEX('Ffactorau Allyriadau'!$K$3:$V$201,MATCH('Adeiladau, Fflyd ac Offer '!$C11&amp;$D11,'Ffactorau Allyriadau'!$J$3:$J$201&amp;'Ffactorau Allyriadau'!$K$3:$K$201,0),MATCH('Adeiladau, Fflyd ac Offer '!L$7,'Ffactorau Allyriadau'!$K$2:$V$2,0)))*$G11)</f>
        <v/>
      </c>
      <c r="M11" s="209" t="str">
        <f t="array" ref="M11">IF(OR($C11="",$E11=""),"",(INDEX('Ffactorau Allyriadau'!$K$3:$V$201,MATCH('Adeiladau, Fflyd ac Offer '!$C11&amp;$D11,'Ffactorau Allyriadau'!$J$3:$J$201&amp;'Ffactorau Allyriadau'!$K$3:$K$201,0),MATCH('Adeiladau, Fflyd ac Offer '!M$7,'Ffactorau Allyriadau'!$K$2:$V$2,0)))*$G11)</f>
        <v/>
      </c>
      <c r="N11" s="209" t="str">
        <f t="array" ref="N11">IF(OR($C11="",$E11=""),"",(INDEX('Ffactorau Allyriadau'!$K$3:$V$201,MATCH('Adeiladau, Fflyd ac Offer '!$C11&amp;$D11,'Ffactorau Allyriadau'!$J$3:$J$201&amp;'Ffactorau Allyriadau'!$K$3:$K$201,0),MATCH('Adeiladau, Fflyd ac Offer '!N$7,'Ffactorau Allyriadau'!$K$2:$V$2,0)))*$G11)</f>
        <v/>
      </c>
      <c r="O11" s="209" t="str">
        <f t="array" ref="O11">IF(OR($C11="",$E11=""),"",(INDEX('Ffactorau Allyriadau'!$K$3:$V$201,MATCH('Adeiladau, Fflyd ac Offer '!$C11&amp;$D11,'Ffactorau Allyriadau'!$J$3:$J$201&amp;'Ffactorau Allyriadau'!$K$3:$K$201,0),MATCH('Adeiladau, Fflyd ac Offer '!O$7,'Ffactorau Allyriadau'!$K$2:$V$2,0)))*$G11)</f>
        <v/>
      </c>
      <c r="P11" s="209" t="str">
        <f t="array" ref="P11">IF(OR($C11="",$E11=""),"",(INDEX('Ffactorau Allyriadau'!$K$3:$V$201,MATCH('Adeiladau, Fflyd ac Offer '!$C11&amp;$D11,'Ffactorau Allyriadau'!$J$3:$J$201&amp;'Ffactorau Allyriadau'!$K$3:$K$201,0),MATCH('Adeiladau, Fflyd ac Offer '!P$7,'Ffactorau Allyriadau'!$K$2:$V$2,0)))*$G11)</f>
        <v/>
      </c>
      <c r="Q11" s="54"/>
    </row>
    <row r="12" spans="1:22" s="1" customFormat="1" ht="15" thickBot="1" x14ac:dyDescent="0.4">
      <c r="A12" s="142"/>
      <c r="B12" s="126"/>
      <c r="C12" s="123"/>
      <c r="D12" s="123"/>
      <c r="E12" s="120"/>
      <c r="F12" s="123"/>
      <c r="G12" s="125" t="str">
        <f t="array" ref="G12">IF(OR($C12="",$B12="",$E12="",$F12=""),"",IF(F12=H12,E12,(INDEX('Ffactorau Allyriadau'!$K$3:$V$201,MATCH(C12&amp;D12,'Ffactorau Allyriadau'!$J$3:$J$201&amp;'Ffactorau Allyriadau'!$K$3:$K$201,0),MATCH(G$7,'Ffactorau Allyriadau'!$K$2:$V$2,0)))*E12))</f>
        <v/>
      </c>
      <c r="H12" s="29" t="str">
        <f>IF(OR($C12="",$B12="",$E12="",$F12=""),"",INDEX('Ffactorau Allyriadau'!$K$3:$V$201,MATCH('Adeiladau, Fflyd ac Offer '!$C12,'Ffactorau Allyriadau'!$J$3:$J$201,0),MATCH($H$7,'Ffactorau Allyriadau'!$K$2:$V$2,0)))</f>
        <v/>
      </c>
      <c r="I12" s="143" t="str">
        <f t="array" ref="I12">IF(OR(C12="",E12="",BuildingsTable[[#This Row],[Units]]=""),"",INDEX('Ffactorau Allyriadau'!$K$3:$V$201,MATCH('Adeiladau, Fflyd ac Offer '!$C12&amp;D12,'Ffactorau Allyriadau'!$J$3:$J$201&amp;'Ffactorau Allyriadau'!$K$3:$K$201,0),MATCH('Adeiladau, Fflyd ac Offer '!$I$7,'Ffactorau Allyriadau'!$K$2:$V$2,0)))</f>
        <v/>
      </c>
      <c r="J12" s="208" t="str">
        <f>IF(OR(G12="",I12=""),"",SUM(BuildingsTable[[#This Row],[Direct]:[Indirect WTT]]))</f>
        <v/>
      </c>
      <c r="K12" s="122"/>
      <c r="L12" s="209" t="str">
        <f t="array" ref="L12">IF(OR($C12="",$E12=""),"",(INDEX('Ffactorau Allyriadau'!$K$3:$V$201,MATCH('Adeiladau, Fflyd ac Offer '!$C12&amp;$D12,'Ffactorau Allyriadau'!$J$3:$J$201&amp;'Ffactorau Allyriadau'!$K$3:$K$201,0),MATCH('Adeiladau, Fflyd ac Offer '!L$7,'Ffactorau Allyriadau'!$K$2:$V$2,0)))*$G12)</f>
        <v/>
      </c>
      <c r="M12" s="209" t="str">
        <f t="array" ref="M12">IF(OR($C12="",$E12=""),"",(INDEX('Ffactorau Allyriadau'!$K$3:$V$201,MATCH('Adeiladau, Fflyd ac Offer '!$C12&amp;$D12,'Ffactorau Allyriadau'!$J$3:$J$201&amp;'Ffactorau Allyriadau'!$K$3:$K$201,0),MATCH('Adeiladau, Fflyd ac Offer '!M$7,'Ffactorau Allyriadau'!$K$2:$V$2,0)))*$G12)</f>
        <v/>
      </c>
      <c r="N12" s="209" t="str">
        <f t="array" ref="N12">IF(OR($C12="",$E12=""),"",(INDEX('Ffactorau Allyriadau'!$K$3:$V$201,MATCH('Adeiladau, Fflyd ac Offer '!$C12&amp;$D12,'Ffactorau Allyriadau'!$J$3:$J$201&amp;'Ffactorau Allyriadau'!$K$3:$K$201,0),MATCH('Adeiladau, Fflyd ac Offer '!N$7,'Ffactorau Allyriadau'!$K$2:$V$2,0)))*$G12)</f>
        <v/>
      </c>
      <c r="O12" s="209" t="str">
        <f t="array" ref="O12">IF(OR($C12="",$E12=""),"",(INDEX('Ffactorau Allyriadau'!$K$3:$V$201,MATCH('Adeiladau, Fflyd ac Offer '!$C12&amp;$D12,'Ffactorau Allyriadau'!$J$3:$J$201&amp;'Ffactorau Allyriadau'!$K$3:$K$201,0),MATCH('Adeiladau, Fflyd ac Offer '!O$7,'Ffactorau Allyriadau'!$K$2:$V$2,0)))*$G12)</f>
        <v/>
      </c>
      <c r="P12" s="209" t="str">
        <f t="array" ref="P12">IF(OR($C12="",$E12=""),"",(INDEX('Ffactorau Allyriadau'!$K$3:$V$201,MATCH('Adeiladau, Fflyd ac Offer '!$C12&amp;$D12,'Ffactorau Allyriadau'!$J$3:$J$201&amp;'Ffactorau Allyriadau'!$K$3:$K$201,0),MATCH('Adeiladau, Fflyd ac Offer '!P$7,'Ffactorau Allyriadau'!$K$2:$V$2,0)))*$G12)</f>
        <v/>
      </c>
      <c r="Q12" s="54"/>
    </row>
    <row r="13" spans="1:22" s="1" customFormat="1" ht="15" thickBot="1" x14ac:dyDescent="0.4">
      <c r="A13" s="142"/>
      <c r="B13" s="126"/>
      <c r="C13" s="123"/>
      <c r="D13" s="123"/>
      <c r="E13" s="120"/>
      <c r="F13" s="123"/>
      <c r="G13" s="125" t="str">
        <f t="array" ref="G13">IF(OR($C13="",$B13="",$E13="",$F13=""),"",IF(F13=H13,E13,(INDEX('Ffactorau Allyriadau'!$K$3:$V$201,MATCH(C13&amp;D13,'Ffactorau Allyriadau'!$J$3:$J$201&amp;'Ffactorau Allyriadau'!$K$3:$K$201,0),MATCH(G$7,'Ffactorau Allyriadau'!$K$2:$V$2,0)))*E13))</f>
        <v/>
      </c>
      <c r="H13" s="29" t="str">
        <f>IF(OR($C13="",$B13="",$E13="",$F13=""),"",INDEX('Ffactorau Allyriadau'!$K$3:$V$201,MATCH('Adeiladau, Fflyd ac Offer '!$C13,'Ffactorau Allyriadau'!$J$3:$J$201,0),MATCH($H$7,'Ffactorau Allyriadau'!$K$2:$V$2,0)))</f>
        <v/>
      </c>
      <c r="I13" s="143" t="str">
        <f t="array" ref="I13">IF(OR(C13="",E13="",BuildingsTable[[#This Row],[Units]]=""),"",INDEX('Ffactorau Allyriadau'!$K$3:$V$201,MATCH('Adeiladau, Fflyd ac Offer '!$C13&amp;D13,'Ffactorau Allyriadau'!$J$3:$J$201&amp;'Ffactorau Allyriadau'!$K$3:$K$201,0),MATCH('Adeiladau, Fflyd ac Offer '!$I$7,'Ffactorau Allyriadau'!$K$2:$V$2,0)))</f>
        <v/>
      </c>
      <c r="J13" s="208" t="str">
        <f>IF(OR(G13="",I13=""),"",SUM(BuildingsTable[[#This Row],[Direct]:[Indirect WTT]]))</f>
        <v/>
      </c>
      <c r="K13" s="122"/>
      <c r="L13" s="209" t="str">
        <f t="array" ref="L13">IF(OR($C13="",$E13=""),"",(INDEX('Ffactorau Allyriadau'!$K$3:$V$201,MATCH('Adeiladau, Fflyd ac Offer '!$C13&amp;$D13,'Ffactorau Allyriadau'!$J$3:$J$201&amp;'Ffactorau Allyriadau'!$K$3:$K$201,0),MATCH('Adeiladau, Fflyd ac Offer '!L$7,'Ffactorau Allyriadau'!$K$2:$V$2,0)))*$G13)</f>
        <v/>
      </c>
      <c r="M13" s="209" t="str">
        <f t="array" ref="M13">IF(OR($C13="",$E13=""),"",(INDEX('Ffactorau Allyriadau'!$K$3:$V$201,MATCH('Adeiladau, Fflyd ac Offer '!$C13&amp;$D13,'Ffactorau Allyriadau'!$J$3:$J$201&amp;'Ffactorau Allyriadau'!$K$3:$K$201,0),MATCH('Adeiladau, Fflyd ac Offer '!M$7,'Ffactorau Allyriadau'!$K$2:$V$2,0)))*$G13)</f>
        <v/>
      </c>
      <c r="N13" s="209" t="str">
        <f t="array" ref="N13">IF(OR($C13="",$E13=""),"",(INDEX('Ffactorau Allyriadau'!$K$3:$V$201,MATCH('Adeiladau, Fflyd ac Offer '!$C13&amp;$D13,'Ffactorau Allyriadau'!$J$3:$J$201&amp;'Ffactorau Allyriadau'!$K$3:$K$201,0),MATCH('Adeiladau, Fflyd ac Offer '!N$7,'Ffactorau Allyriadau'!$K$2:$V$2,0)))*$G13)</f>
        <v/>
      </c>
      <c r="O13" s="209" t="str">
        <f t="array" ref="O13">IF(OR($C13="",$E13=""),"",(INDEX('Ffactorau Allyriadau'!$K$3:$V$201,MATCH('Adeiladau, Fflyd ac Offer '!$C13&amp;$D13,'Ffactorau Allyriadau'!$J$3:$J$201&amp;'Ffactorau Allyriadau'!$K$3:$K$201,0),MATCH('Adeiladau, Fflyd ac Offer '!O$7,'Ffactorau Allyriadau'!$K$2:$V$2,0)))*$G13)</f>
        <v/>
      </c>
      <c r="P13" s="209" t="str">
        <f t="array" ref="P13">IF(OR($C13="",$E13=""),"",(INDEX('Ffactorau Allyriadau'!$K$3:$V$201,MATCH('Adeiladau, Fflyd ac Offer '!$C13&amp;$D13,'Ffactorau Allyriadau'!$J$3:$J$201&amp;'Ffactorau Allyriadau'!$K$3:$K$201,0),MATCH('Adeiladau, Fflyd ac Offer '!P$7,'Ffactorau Allyriadau'!$K$2:$V$2,0)))*$G13)</f>
        <v/>
      </c>
      <c r="Q13" s="54"/>
    </row>
    <row r="14" spans="1:22" s="1" customFormat="1" ht="15" thickBot="1" x14ac:dyDescent="0.4">
      <c r="A14" s="142"/>
      <c r="B14" s="126"/>
      <c r="C14" s="123"/>
      <c r="D14" s="123"/>
      <c r="E14" s="120"/>
      <c r="F14" s="123"/>
      <c r="G14" s="125" t="str">
        <f t="array" ref="G14">IF(OR($C14="",$B14="",$E14="",$F14=""),"",IF(F14=H14,E14,(INDEX('Ffactorau Allyriadau'!$K$3:$V$201,MATCH(C14&amp;D14,'Ffactorau Allyriadau'!$J$3:$J$201&amp;'Ffactorau Allyriadau'!$K$3:$K$201,0),MATCH(G$7,'Ffactorau Allyriadau'!$K$2:$V$2,0)))*E14))</f>
        <v/>
      </c>
      <c r="H14" s="29" t="str">
        <f>IF(OR($C14="",$B14="",$E14="",$F14=""),"",INDEX('Ffactorau Allyriadau'!$K$3:$V$201,MATCH('Adeiladau, Fflyd ac Offer '!$C14,'Ffactorau Allyriadau'!$J$3:$J$201,0),MATCH($H$7,'Ffactorau Allyriadau'!$K$2:$V$2,0)))</f>
        <v/>
      </c>
      <c r="I14" s="143" t="str">
        <f t="array" ref="I14">IF(OR(C14="",E14="",BuildingsTable[[#This Row],[Units]]=""),"",INDEX('Ffactorau Allyriadau'!$K$3:$V$201,MATCH('Adeiladau, Fflyd ac Offer '!$C14&amp;D14,'Ffactorau Allyriadau'!$J$3:$J$201&amp;'Ffactorau Allyriadau'!$K$3:$K$201,0),MATCH('Adeiladau, Fflyd ac Offer '!$I$7,'Ffactorau Allyriadau'!$K$2:$V$2,0)))</f>
        <v/>
      </c>
      <c r="J14" s="208" t="str">
        <f>IF(OR(G14="",I14=""),"",SUM(BuildingsTable[[#This Row],[Direct]:[Indirect WTT]]))</f>
        <v/>
      </c>
      <c r="K14" s="122"/>
      <c r="L14" s="209" t="str">
        <f t="array" ref="L14">IF(OR($C14="",$E14=""),"",(INDEX('Ffactorau Allyriadau'!$K$3:$V$201,MATCH('Adeiladau, Fflyd ac Offer '!$C14&amp;$D14,'Ffactorau Allyriadau'!$J$3:$J$201&amp;'Ffactorau Allyriadau'!$K$3:$K$201,0),MATCH('Adeiladau, Fflyd ac Offer '!L$7,'Ffactorau Allyriadau'!$K$2:$V$2,0)))*$G14)</f>
        <v/>
      </c>
      <c r="M14" s="209" t="str">
        <f t="array" ref="M14">IF(OR($C14="",$E14=""),"",(INDEX('Ffactorau Allyriadau'!$K$3:$V$201,MATCH('Adeiladau, Fflyd ac Offer '!$C14&amp;$D14,'Ffactorau Allyriadau'!$J$3:$J$201&amp;'Ffactorau Allyriadau'!$K$3:$K$201,0),MATCH('Adeiladau, Fflyd ac Offer '!M$7,'Ffactorau Allyriadau'!$K$2:$V$2,0)))*$G14)</f>
        <v/>
      </c>
      <c r="N14" s="209" t="str">
        <f t="array" ref="N14">IF(OR($C14="",$E14=""),"",(INDEX('Ffactorau Allyriadau'!$K$3:$V$201,MATCH('Adeiladau, Fflyd ac Offer '!$C14&amp;$D14,'Ffactorau Allyriadau'!$J$3:$J$201&amp;'Ffactorau Allyriadau'!$K$3:$K$201,0),MATCH('Adeiladau, Fflyd ac Offer '!N$7,'Ffactorau Allyriadau'!$K$2:$V$2,0)))*$G14)</f>
        <v/>
      </c>
      <c r="O14" s="209" t="str">
        <f t="array" ref="O14">IF(OR($C14="",$E14=""),"",(INDEX('Ffactorau Allyriadau'!$K$3:$V$201,MATCH('Adeiladau, Fflyd ac Offer '!$C14&amp;$D14,'Ffactorau Allyriadau'!$J$3:$J$201&amp;'Ffactorau Allyriadau'!$K$3:$K$201,0),MATCH('Adeiladau, Fflyd ac Offer '!O$7,'Ffactorau Allyriadau'!$K$2:$V$2,0)))*$G14)</f>
        <v/>
      </c>
      <c r="P14" s="209" t="str">
        <f t="array" ref="P14">IF(OR($C14="",$E14=""),"",(INDEX('Ffactorau Allyriadau'!$K$3:$V$201,MATCH('Adeiladau, Fflyd ac Offer '!$C14&amp;$D14,'Ffactorau Allyriadau'!$J$3:$J$201&amp;'Ffactorau Allyriadau'!$K$3:$K$201,0),MATCH('Adeiladau, Fflyd ac Offer '!P$7,'Ffactorau Allyriadau'!$K$2:$V$2,0)))*$G14)</f>
        <v/>
      </c>
      <c r="Q14" s="54"/>
    </row>
    <row r="15" spans="1:22" s="1" customFormat="1" ht="15" thickBot="1" x14ac:dyDescent="0.4">
      <c r="A15" s="142"/>
      <c r="B15" s="126"/>
      <c r="C15" s="123"/>
      <c r="D15" s="123"/>
      <c r="E15" s="120"/>
      <c r="F15" s="123"/>
      <c r="G15" s="125" t="str">
        <f t="array" ref="G15">IF(OR($C15="",$B15="",$E15="",$F15=""),"",IF(F15=H15,E15,(INDEX('Ffactorau Allyriadau'!$K$3:$V$201,MATCH(C15&amp;D15,'Ffactorau Allyriadau'!$J$3:$J$201&amp;'Ffactorau Allyriadau'!$K$3:$K$201,0),MATCH(G$7,'Ffactorau Allyriadau'!$K$2:$V$2,0)))*E15))</f>
        <v/>
      </c>
      <c r="H15" s="29" t="str">
        <f>IF(OR($C15="",$B15="",$E15="",$F15=""),"",INDEX('Ffactorau Allyriadau'!$K$3:$V$201,MATCH('Adeiladau, Fflyd ac Offer '!$C15,'Ffactorau Allyriadau'!$J$3:$J$201,0),MATCH($H$7,'Ffactorau Allyriadau'!$K$2:$V$2,0)))</f>
        <v/>
      </c>
      <c r="I15" s="143" t="str">
        <f t="array" ref="I15">IF(OR(C15="",E15="",BuildingsTable[[#This Row],[Units]]=""),"",INDEX('Ffactorau Allyriadau'!$K$3:$V$201,MATCH('Adeiladau, Fflyd ac Offer '!$C15&amp;D15,'Ffactorau Allyriadau'!$J$3:$J$201&amp;'Ffactorau Allyriadau'!$K$3:$K$201,0),MATCH('Adeiladau, Fflyd ac Offer '!$I$7,'Ffactorau Allyriadau'!$K$2:$V$2,0)))</f>
        <v/>
      </c>
      <c r="J15" s="208" t="str">
        <f>IF(OR(G15="",I15=""),"",SUM(BuildingsTable[[#This Row],[Direct]:[Indirect WTT]]))</f>
        <v/>
      </c>
      <c r="K15" s="122"/>
      <c r="L15" s="209" t="str">
        <f t="array" ref="L15">IF(OR($C15="",$E15=""),"",(INDEX('Ffactorau Allyriadau'!$K$3:$V$201,MATCH('Adeiladau, Fflyd ac Offer '!$C15&amp;$D15,'Ffactorau Allyriadau'!$J$3:$J$201&amp;'Ffactorau Allyriadau'!$K$3:$K$201,0),MATCH('Adeiladau, Fflyd ac Offer '!L$7,'Ffactorau Allyriadau'!$K$2:$V$2,0)))*$G15)</f>
        <v/>
      </c>
      <c r="M15" s="209" t="str">
        <f t="array" ref="M15">IF(OR($C15="",$E15=""),"",(INDEX('Ffactorau Allyriadau'!$K$3:$V$201,MATCH('Adeiladau, Fflyd ac Offer '!$C15&amp;$D15,'Ffactorau Allyriadau'!$J$3:$J$201&amp;'Ffactorau Allyriadau'!$K$3:$K$201,0),MATCH('Adeiladau, Fflyd ac Offer '!M$7,'Ffactorau Allyriadau'!$K$2:$V$2,0)))*$G15)</f>
        <v/>
      </c>
      <c r="N15" s="209" t="str">
        <f t="array" ref="N15">IF(OR($C15="",$E15=""),"",(INDEX('Ffactorau Allyriadau'!$K$3:$V$201,MATCH('Adeiladau, Fflyd ac Offer '!$C15&amp;$D15,'Ffactorau Allyriadau'!$J$3:$J$201&amp;'Ffactorau Allyriadau'!$K$3:$K$201,0),MATCH('Adeiladau, Fflyd ac Offer '!N$7,'Ffactorau Allyriadau'!$K$2:$V$2,0)))*$G15)</f>
        <v/>
      </c>
      <c r="O15" s="209" t="str">
        <f t="array" ref="O15">IF(OR($C15="",$E15=""),"",(INDEX('Ffactorau Allyriadau'!$K$3:$V$201,MATCH('Adeiladau, Fflyd ac Offer '!$C15&amp;$D15,'Ffactorau Allyriadau'!$J$3:$J$201&amp;'Ffactorau Allyriadau'!$K$3:$K$201,0),MATCH('Adeiladau, Fflyd ac Offer '!O$7,'Ffactorau Allyriadau'!$K$2:$V$2,0)))*$G15)</f>
        <v/>
      </c>
      <c r="P15" s="209" t="str">
        <f t="array" ref="P15">IF(OR($C15="",$E15=""),"",(INDEX('Ffactorau Allyriadau'!$K$3:$V$201,MATCH('Adeiladau, Fflyd ac Offer '!$C15&amp;$D15,'Ffactorau Allyriadau'!$J$3:$J$201&amp;'Ffactorau Allyriadau'!$K$3:$K$201,0),MATCH('Adeiladau, Fflyd ac Offer '!P$7,'Ffactorau Allyriadau'!$K$2:$V$2,0)))*$G15)</f>
        <v/>
      </c>
      <c r="Q15" s="54"/>
    </row>
    <row r="16" spans="1:22" s="1" customFormat="1" ht="15" thickBot="1" x14ac:dyDescent="0.4">
      <c r="A16" s="142"/>
      <c r="B16" s="126"/>
      <c r="C16" s="123"/>
      <c r="D16" s="123"/>
      <c r="E16" s="120"/>
      <c r="F16" s="123"/>
      <c r="G16" s="125" t="str">
        <f t="array" ref="G16">IF(OR($C16="",$B16="",$E16="",$F16=""),"",IF(F16=H16,E16,(INDEX('Ffactorau Allyriadau'!$K$3:$V$201,MATCH(C16&amp;D16,'Ffactorau Allyriadau'!$J$3:$J$201&amp;'Ffactorau Allyriadau'!$K$3:$K$201,0),MATCH(G$7,'Ffactorau Allyriadau'!$K$2:$V$2,0)))*E16))</f>
        <v/>
      </c>
      <c r="H16" s="29" t="str">
        <f>IF(OR($C16="",$B16="",$E16="",$F16=""),"",INDEX('Ffactorau Allyriadau'!$K$3:$V$201,MATCH('Adeiladau, Fflyd ac Offer '!$C16,'Ffactorau Allyriadau'!$J$3:$J$201,0),MATCH($H$7,'Ffactorau Allyriadau'!$K$2:$V$2,0)))</f>
        <v/>
      </c>
      <c r="I16" s="143" t="str">
        <f t="array" ref="I16">IF(OR(C16="",E16="",BuildingsTable[[#This Row],[Units]]=""),"",INDEX('Ffactorau Allyriadau'!$K$3:$V$201,MATCH('Adeiladau, Fflyd ac Offer '!$C16&amp;D16,'Ffactorau Allyriadau'!$J$3:$J$201&amp;'Ffactorau Allyriadau'!$K$3:$K$201,0),MATCH('Adeiladau, Fflyd ac Offer '!$I$7,'Ffactorau Allyriadau'!$K$2:$V$2,0)))</f>
        <v/>
      </c>
      <c r="J16" s="208" t="str">
        <f>IF(OR(G16="",I16=""),"",SUM(BuildingsTable[[#This Row],[Direct]:[Indirect WTT]]))</f>
        <v/>
      </c>
      <c r="K16" s="122"/>
      <c r="L16" s="209" t="str">
        <f t="array" ref="L16">IF(OR($C16="",$E16=""),"",(INDEX('Ffactorau Allyriadau'!$K$3:$V$201,MATCH('Adeiladau, Fflyd ac Offer '!$C16&amp;$D16,'Ffactorau Allyriadau'!$J$3:$J$201&amp;'Ffactorau Allyriadau'!$K$3:$K$201,0),MATCH('Adeiladau, Fflyd ac Offer '!L$7,'Ffactorau Allyriadau'!$K$2:$V$2,0)))*$G16)</f>
        <v/>
      </c>
      <c r="M16" s="209" t="str">
        <f t="array" ref="M16">IF(OR($C16="",$E16=""),"",(INDEX('Ffactorau Allyriadau'!$K$3:$V$201,MATCH('Adeiladau, Fflyd ac Offer '!$C16&amp;$D16,'Ffactorau Allyriadau'!$J$3:$J$201&amp;'Ffactorau Allyriadau'!$K$3:$K$201,0),MATCH('Adeiladau, Fflyd ac Offer '!M$7,'Ffactorau Allyriadau'!$K$2:$V$2,0)))*$G16)</f>
        <v/>
      </c>
      <c r="N16" s="209" t="str">
        <f t="array" ref="N16">IF(OR($C16="",$E16=""),"",(INDEX('Ffactorau Allyriadau'!$K$3:$V$201,MATCH('Adeiladau, Fflyd ac Offer '!$C16&amp;$D16,'Ffactorau Allyriadau'!$J$3:$J$201&amp;'Ffactorau Allyriadau'!$K$3:$K$201,0),MATCH('Adeiladau, Fflyd ac Offer '!N$7,'Ffactorau Allyriadau'!$K$2:$V$2,0)))*$G16)</f>
        <v/>
      </c>
      <c r="O16" s="209" t="str">
        <f t="array" ref="O16">IF(OR($C16="",$E16=""),"",(INDEX('Ffactorau Allyriadau'!$K$3:$V$201,MATCH('Adeiladau, Fflyd ac Offer '!$C16&amp;$D16,'Ffactorau Allyriadau'!$J$3:$J$201&amp;'Ffactorau Allyriadau'!$K$3:$K$201,0),MATCH('Adeiladau, Fflyd ac Offer '!O$7,'Ffactorau Allyriadau'!$K$2:$V$2,0)))*$G16)</f>
        <v/>
      </c>
      <c r="P16" s="209" t="str">
        <f t="array" ref="P16">IF(OR($C16="",$E16=""),"",(INDEX('Ffactorau Allyriadau'!$K$3:$V$201,MATCH('Adeiladau, Fflyd ac Offer '!$C16&amp;$D16,'Ffactorau Allyriadau'!$J$3:$J$201&amp;'Ffactorau Allyriadau'!$K$3:$K$201,0),MATCH('Adeiladau, Fflyd ac Offer '!P$7,'Ffactorau Allyriadau'!$K$2:$V$2,0)))*$G16)</f>
        <v/>
      </c>
      <c r="Q16" s="54"/>
    </row>
    <row r="17" spans="1:17" s="1" customFormat="1" ht="15" thickBot="1" x14ac:dyDescent="0.4">
      <c r="A17" s="142"/>
      <c r="B17" s="126"/>
      <c r="C17" s="123"/>
      <c r="D17" s="123"/>
      <c r="E17" s="120"/>
      <c r="F17" s="123"/>
      <c r="G17" s="125" t="str">
        <f t="array" ref="G17">IF(OR($C17="",$B17="",$E17="",$F17=""),"",IF(F17=H17,E17,(INDEX('Ffactorau Allyriadau'!$K$3:$V$201,MATCH(C17&amp;D17,'Ffactorau Allyriadau'!$J$3:$J$201&amp;'Ffactorau Allyriadau'!$K$3:$K$201,0),MATCH(G$7,'Ffactorau Allyriadau'!$K$2:$V$2,0)))*E17))</f>
        <v/>
      </c>
      <c r="H17" s="29" t="str">
        <f>IF(OR($C17="",$B17="",$E17="",$F17=""),"",INDEX('Ffactorau Allyriadau'!$K$3:$V$201,MATCH('Adeiladau, Fflyd ac Offer '!$C17,'Ffactorau Allyriadau'!$J$3:$J$201,0),MATCH($H$7,'Ffactorau Allyriadau'!$K$2:$V$2,0)))</f>
        <v/>
      </c>
      <c r="I17" s="143" t="str">
        <f t="array" ref="I17">IF(OR(C17="",E17="",BuildingsTable[[#This Row],[Units]]=""),"",INDEX('Ffactorau Allyriadau'!$K$3:$V$201,MATCH('Adeiladau, Fflyd ac Offer '!$C17&amp;D17,'Ffactorau Allyriadau'!$J$3:$J$201&amp;'Ffactorau Allyriadau'!$K$3:$K$201,0),MATCH('Adeiladau, Fflyd ac Offer '!$I$7,'Ffactorau Allyriadau'!$K$2:$V$2,0)))</f>
        <v/>
      </c>
      <c r="J17" s="208" t="str">
        <f>IF(OR(G17="",I17=""),"",SUM(BuildingsTable[[#This Row],[Direct]:[Indirect WTT]]))</f>
        <v/>
      </c>
      <c r="K17" s="122"/>
      <c r="L17" s="209" t="str">
        <f t="array" ref="L17">IF(OR($C17="",$E17=""),"",(INDEX('Ffactorau Allyriadau'!$K$3:$V$201,MATCH('Adeiladau, Fflyd ac Offer '!$C17&amp;$D17,'Ffactorau Allyriadau'!$J$3:$J$201&amp;'Ffactorau Allyriadau'!$K$3:$K$201,0),MATCH('Adeiladau, Fflyd ac Offer '!L$7,'Ffactorau Allyriadau'!$K$2:$V$2,0)))*$G17)</f>
        <v/>
      </c>
      <c r="M17" s="209" t="str">
        <f t="array" ref="M17">IF(OR($C17="",$E17=""),"",(INDEX('Ffactorau Allyriadau'!$K$3:$V$201,MATCH('Adeiladau, Fflyd ac Offer '!$C17&amp;$D17,'Ffactorau Allyriadau'!$J$3:$J$201&amp;'Ffactorau Allyriadau'!$K$3:$K$201,0),MATCH('Adeiladau, Fflyd ac Offer '!M$7,'Ffactorau Allyriadau'!$K$2:$V$2,0)))*$G17)</f>
        <v/>
      </c>
      <c r="N17" s="209" t="str">
        <f t="array" ref="N17">IF(OR($C17="",$E17=""),"",(INDEX('Ffactorau Allyriadau'!$K$3:$V$201,MATCH('Adeiladau, Fflyd ac Offer '!$C17&amp;$D17,'Ffactorau Allyriadau'!$J$3:$J$201&amp;'Ffactorau Allyriadau'!$K$3:$K$201,0),MATCH('Adeiladau, Fflyd ac Offer '!N$7,'Ffactorau Allyriadau'!$K$2:$V$2,0)))*$G17)</f>
        <v/>
      </c>
      <c r="O17" s="209" t="str">
        <f t="array" ref="O17">IF(OR($C17="",$E17=""),"",(INDEX('Ffactorau Allyriadau'!$K$3:$V$201,MATCH('Adeiladau, Fflyd ac Offer '!$C17&amp;$D17,'Ffactorau Allyriadau'!$J$3:$J$201&amp;'Ffactorau Allyriadau'!$K$3:$K$201,0),MATCH('Adeiladau, Fflyd ac Offer '!O$7,'Ffactorau Allyriadau'!$K$2:$V$2,0)))*$G17)</f>
        <v/>
      </c>
      <c r="P17" s="209" t="str">
        <f t="array" ref="P17">IF(OR($C17="",$E17=""),"",(INDEX('Ffactorau Allyriadau'!$K$3:$V$201,MATCH('Adeiladau, Fflyd ac Offer '!$C17&amp;$D17,'Ffactorau Allyriadau'!$J$3:$J$201&amp;'Ffactorau Allyriadau'!$K$3:$K$201,0),MATCH('Adeiladau, Fflyd ac Offer '!P$7,'Ffactorau Allyriadau'!$K$2:$V$2,0)))*$G17)</f>
        <v/>
      </c>
      <c r="Q17" s="54"/>
    </row>
    <row r="18" spans="1:17" s="1" customFormat="1" ht="15" thickBot="1" x14ac:dyDescent="0.4">
      <c r="A18" s="142"/>
      <c r="B18" s="126"/>
      <c r="C18" s="123"/>
      <c r="D18" s="123"/>
      <c r="E18" s="120"/>
      <c r="F18" s="123"/>
      <c r="G18" s="125" t="str">
        <f t="array" ref="G18">IF(OR($C18="",$B18="",$E18="",$F18=""),"",IF(F18=H18,E18,(INDEX('Ffactorau Allyriadau'!$K$3:$V$201,MATCH(C18&amp;D18,'Ffactorau Allyriadau'!$J$3:$J$201&amp;'Ffactorau Allyriadau'!$K$3:$K$201,0),MATCH(G$7,'Ffactorau Allyriadau'!$K$2:$V$2,0)))*E18))</f>
        <v/>
      </c>
      <c r="H18" s="29" t="str">
        <f>IF(OR($C18="",$B18="",$E18="",$F18=""),"",INDEX('Ffactorau Allyriadau'!$K$3:$V$201,MATCH('Adeiladau, Fflyd ac Offer '!$C18,'Ffactorau Allyriadau'!$J$3:$J$201,0),MATCH($H$7,'Ffactorau Allyriadau'!$K$2:$V$2,0)))</f>
        <v/>
      </c>
      <c r="I18" s="143" t="str">
        <f t="array" ref="I18">IF(OR(C18="",E18="",BuildingsTable[[#This Row],[Units]]=""),"",INDEX('Ffactorau Allyriadau'!$K$3:$V$201,MATCH('Adeiladau, Fflyd ac Offer '!$C18&amp;D18,'Ffactorau Allyriadau'!$J$3:$J$201&amp;'Ffactorau Allyriadau'!$K$3:$K$201,0),MATCH('Adeiladau, Fflyd ac Offer '!$I$7,'Ffactorau Allyriadau'!$K$2:$V$2,0)))</f>
        <v/>
      </c>
      <c r="J18" s="208" t="str">
        <f>IF(OR(G18="",I18=""),"",SUM(BuildingsTable[[#This Row],[Direct]:[Indirect WTT]]))</f>
        <v/>
      </c>
      <c r="K18" s="122"/>
      <c r="L18" s="209" t="str">
        <f t="array" ref="L18">IF(OR($C18="",$E18=""),"",(INDEX('Ffactorau Allyriadau'!$K$3:$V$201,MATCH('Adeiladau, Fflyd ac Offer '!$C18&amp;$D18,'Ffactorau Allyriadau'!$J$3:$J$201&amp;'Ffactorau Allyriadau'!$K$3:$K$201,0),MATCH('Adeiladau, Fflyd ac Offer '!L$7,'Ffactorau Allyriadau'!$K$2:$V$2,0)))*$G18)</f>
        <v/>
      </c>
      <c r="M18" s="209" t="str">
        <f t="array" ref="M18">IF(OR($C18="",$E18=""),"",(INDEX('Ffactorau Allyriadau'!$K$3:$V$201,MATCH('Adeiladau, Fflyd ac Offer '!$C18&amp;$D18,'Ffactorau Allyriadau'!$J$3:$J$201&amp;'Ffactorau Allyriadau'!$K$3:$K$201,0),MATCH('Adeiladau, Fflyd ac Offer '!M$7,'Ffactorau Allyriadau'!$K$2:$V$2,0)))*$G18)</f>
        <v/>
      </c>
      <c r="N18" s="209" t="str">
        <f t="array" ref="N18">IF(OR($C18="",$E18=""),"",(INDEX('Ffactorau Allyriadau'!$K$3:$V$201,MATCH('Adeiladau, Fflyd ac Offer '!$C18&amp;$D18,'Ffactorau Allyriadau'!$J$3:$J$201&amp;'Ffactorau Allyriadau'!$K$3:$K$201,0),MATCH('Adeiladau, Fflyd ac Offer '!N$7,'Ffactorau Allyriadau'!$K$2:$V$2,0)))*$G18)</f>
        <v/>
      </c>
      <c r="O18" s="209" t="str">
        <f t="array" ref="O18">IF(OR($C18="",$E18=""),"",(INDEX('Ffactorau Allyriadau'!$K$3:$V$201,MATCH('Adeiladau, Fflyd ac Offer '!$C18&amp;$D18,'Ffactorau Allyriadau'!$J$3:$J$201&amp;'Ffactorau Allyriadau'!$K$3:$K$201,0),MATCH('Adeiladau, Fflyd ac Offer '!O$7,'Ffactorau Allyriadau'!$K$2:$V$2,0)))*$G18)</f>
        <v/>
      </c>
      <c r="P18" s="209" t="str">
        <f t="array" ref="P18">IF(OR($C18="",$E18=""),"",(INDEX('Ffactorau Allyriadau'!$K$3:$V$201,MATCH('Adeiladau, Fflyd ac Offer '!$C18&amp;$D18,'Ffactorau Allyriadau'!$J$3:$J$201&amp;'Ffactorau Allyriadau'!$K$3:$K$201,0),MATCH('Adeiladau, Fflyd ac Offer '!P$7,'Ffactorau Allyriadau'!$K$2:$V$2,0)))*$G18)</f>
        <v/>
      </c>
      <c r="Q18" s="54"/>
    </row>
    <row r="19" spans="1:17" s="1" customFormat="1" ht="15" thickBot="1" x14ac:dyDescent="0.4">
      <c r="A19" s="142"/>
      <c r="B19" s="126"/>
      <c r="C19" s="123"/>
      <c r="D19" s="123"/>
      <c r="E19" s="120"/>
      <c r="F19" s="123"/>
      <c r="G19" s="125" t="str">
        <f t="array" ref="G19">IF(OR($C19="",$B19="",$E19="",$F19=""),"",IF(F19=H19,E19,(INDEX('Ffactorau Allyriadau'!$K$3:$V$201,MATCH(C19&amp;D19,'Ffactorau Allyriadau'!$J$3:$J$201&amp;'Ffactorau Allyriadau'!$K$3:$K$201,0),MATCH(G$7,'Ffactorau Allyriadau'!$K$2:$V$2,0)))*E19))</f>
        <v/>
      </c>
      <c r="H19" s="29" t="str">
        <f>IF(OR($C19="",$B19="",$E19="",$F19=""),"",INDEX('Ffactorau Allyriadau'!$K$3:$V$201,MATCH('Adeiladau, Fflyd ac Offer '!$C19,'Ffactorau Allyriadau'!$J$3:$J$201,0),MATCH($H$7,'Ffactorau Allyriadau'!$K$2:$V$2,0)))</f>
        <v/>
      </c>
      <c r="I19" s="143" t="str">
        <f t="array" ref="I19">IF(OR(C19="",E19="",BuildingsTable[[#This Row],[Units]]=""),"",INDEX('Ffactorau Allyriadau'!$K$3:$V$201,MATCH('Adeiladau, Fflyd ac Offer '!$C19&amp;D19,'Ffactorau Allyriadau'!$J$3:$J$201&amp;'Ffactorau Allyriadau'!$K$3:$K$201,0),MATCH('Adeiladau, Fflyd ac Offer '!$I$7,'Ffactorau Allyriadau'!$K$2:$V$2,0)))</f>
        <v/>
      </c>
      <c r="J19" s="208" t="str">
        <f>IF(OR(G19="",I19=""),"",SUM(BuildingsTable[[#This Row],[Direct]:[Indirect WTT]]))</f>
        <v/>
      </c>
      <c r="K19" s="122"/>
      <c r="L19" s="209" t="str">
        <f t="array" ref="L19">IF(OR($C19="",$E19=""),"",(INDEX('Ffactorau Allyriadau'!$K$3:$V$201,MATCH('Adeiladau, Fflyd ac Offer '!$C19&amp;$D19,'Ffactorau Allyriadau'!$J$3:$J$201&amp;'Ffactorau Allyriadau'!$K$3:$K$201,0),MATCH('Adeiladau, Fflyd ac Offer '!L$7,'Ffactorau Allyriadau'!$K$2:$V$2,0)))*$G19)</f>
        <v/>
      </c>
      <c r="M19" s="209" t="str">
        <f t="array" ref="M19">IF(OR($C19="",$E19=""),"",(INDEX('Ffactorau Allyriadau'!$K$3:$V$201,MATCH('Adeiladau, Fflyd ac Offer '!$C19&amp;$D19,'Ffactorau Allyriadau'!$J$3:$J$201&amp;'Ffactorau Allyriadau'!$K$3:$K$201,0),MATCH('Adeiladau, Fflyd ac Offer '!M$7,'Ffactorau Allyriadau'!$K$2:$V$2,0)))*$G19)</f>
        <v/>
      </c>
      <c r="N19" s="209" t="str">
        <f t="array" ref="N19">IF(OR($C19="",$E19=""),"",(INDEX('Ffactorau Allyriadau'!$K$3:$V$201,MATCH('Adeiladau, Fflyd ac Offer '!$C19&amp;$D19,'Ffactorau Allyriadau'!$J$3:$J$201&amp;'Ffactorau Allyriadau'!$K$3:$K$201,0),MATCH('Adeiladau, Fflyd ac Offer '!N$7,'Ffactorau Allyriadau'!$K$2:$V$2,0)))*$G19)</f>
        <v/>
      </c>
      <c r="O19" s="209" t="str">
        <f t="array" ref="O19">IF(OR($C19="",$E19=""),"",(INDEX('Ffactorau Allyriadau'!$K$3:$V$201,MATCH('Adeiladau, Fflyd ac Offer '!$C19&amp;$D19,'Ffactorau Allyriadau'!$J$3:$J$201&amp;'Ffactorau Allyriadau'!$K$3:$K$201,0),MATCH('Adeiladau, Fflyd ac Offer '!O$7,'Ffactorau Allyriadau'!$K$2:$V$2,0)))*$G19)</f>
        <v/>
      </c>
      <c r="P19" s="209" t="str">
        <f t="array" ref="P19">IF(OR($C19="",$E19=""),"",(INDEX('Ffactorau Allyriadau'!$K$3:$V$201,MATCH('Adeiladau, Fflyd ac Offer '!$C19&amp;$D19,'Ffactorau Allyriadau'!$J$3:$J$201&amp;'Ffactorau Allyriadau'!$K$3:$K$201,0),MATCH('Adeiladau, Fflyd ac Offer '!P$7,'Ffactorau Allyriadau'!$K$2:$V$2,0)))*$G19)</f>
        <v/>
      </c>
      <c r="Q19" s="54"/>
    </row>
    <row r="20" spans="1:17" s="1" customFormat="1" ht="15" thickBot="1" x14ac:dyDescent="0.4">
      <c r="A20" s="142"/>
      <c r="B20" s="126"/>
      <c r="C20" s="123"/>
      <c r="D20" s="123"/>
      <c r="E20" s="120"/>
      <c r="F20" s="123"/>
      <c r="G20" s="125" t="str">
        <f t="array" ref="G20">IF(OR($C20="",$B20="",$E20="",$F20=""),"",IF(F20=H20,E20,(INDEX('Ffactorau Allyriadau'!$K$3:$V$201,MATCH(C20&amp;D20,'Ffactorau Allyriadau'!$J$3:$J$201&amp;'Ffactorau Allyriadau'!$K$3:$K$201,0),MATCH(G$7,'Ffactorau Allyriadau'!$K$2:$V$2,0)))*E20))</f>
        <v/>
      </c>
      <c r="H20" s="29" t="str">
        <f>IF(OR($C20="",$B20="",$E20="",$F20=""),"",INDEX('Ffactorau Allyriadau'!$K$3:$V$201,MATCH('Adeiladau, Fflyd ac Offer '!$C20,'Ffactorau Allyriadau'!$J$3:$J$201,0),MATCH($H$7,'Ffactorau Allyriadau'!$K$2:$V$2,0)))</f>
        <v/>
      </c>
      <c r="I20" s="143" t="str">
        <f t="array" ref="I20">IF(OR(C20="",E20="",BuildingsTable[[#This Row],[Units]]=""),"",INDEX('Ffactorau Allyriadau'!$K$3:$V$201,MATCH('Adeiladau, Fflyd ac Offer '!$C20&amp;D20,'Ffactorau Allyriadau'!$J$3:$J$201&amp;'Ffactorau Allyriadau'!$K$3:$K$201,0),MATCH('Adeiladau, Fflyd ac Offer '!$I$7,'Ffactorau Allyriadau'!$K$2:$V$2,0)))</f>
        <v/>
      </c>
      <c r="J20" s="208" t="str">
        <f>IF(OR(G20="",I20=""),"",SUM(BuildingsTable[[#This Row],[Direct]:[Indirect WTT]]))</f>
        <v/>
      </c>
      <c r="K20" s="122"/>
      <c r="L20" s="209" t="str">
        <f t="array" ref="L20">IF(OR($C20="",$E20=""),"",(INDEX('Ffactorau Allyriadau'!$K$3:$V$201,MATCH('Adeiladau, Fflyd ac Offer '!$C20&amp;$D20,'Ffactorau Allyriadau'!$J$3:$J$201&amp;'Ffactorau Allyriadau'!$K$3:$K$201,0),MATCH('Adeiladau, Fflyd ac Offer '!L$7,'Ffactorau Allyriadau'!$K$2:$V$2,0)))*$G20)</f>
        <v/>
      </c>
      <c r="M20" s="209" t="str">
        <f t="array" ref="M20">IF(OR($C20="",$E20=""),"",(INDEX('Ffactorau Allyriadau'!$K$3:$V$201,MATCH('Adeiladau, Fflyd ac Offer '!$C20&amp;$D20,'Ffactorau Allyriadau'!$J$3:$J$201&amp;'Ffactorau Allyriadau'!$K$3:$K$201,0),MATCH('Adeiladau, Fflyd ac Offer '!M$7,'Ffactorau Allyriadau'!$K$2:$V$2,0)))*$G20)</f>
        <v/>
      </c>
      <c r="N20" s="209" t="str">
        <f t="array" ref="N20">IF(OR($C20="",$E20=""),"",(INDEX('Ffactorau Allyriadau'!$K$3:$V$201,MATCH('Adeiladau, Fflyd ac Offer '!$C20&amp;$D20,'Ffactorau Allyriadau'!$J$3:$J$201&amp;'Ffactorau Allyriadau'!$K$3:$K$201,0),MATCH('Adeiladau, Fflyd ac Offer '!N$7,'Ffactorau Allyriadau'!$K$2:$V$2,0)))*$G20)</f>
        <v/>
      </c>
      <c r="O20" s="209" t="str">
        <f t="array" ref="O20">IF(OR($C20="",$E20=""),"",(INDEX('Ffactorau Allyriadau'!$K$3:$V$201,MATCH('Adeiladau, Fflyd ac Offer '!$C20&amp;$D20,'Ffactorau Allyriadau'!$J$3:$J$201&amp;'Ffactorau Allyriadau'!$K$3:$K$201,0),MATCH('Adeiladau, Fflyd ac Offer '!O$7,'Ffactorau Allyriadau'!$K$2:$V$2,0)))*$G20)</f>
        <v/>
      </c>
      <c r="P20" s="209" t="str">
        <f t="array" ref="P20">IF(OR($C20="",$E20=""),"",(INDEX('Ffactorau Allyriadau'!$K$3:$V$201,MATCH('Adeiladau, Fflyd ac Offer '!$C20&amp;$D20,'Ffactorau Allyriadau'!$J$3:$J$201&amp;'Ffactorau Allyriadau'!$K$3:$K$201,0),MATCH('Adeiladau, Fflyd ac Offer '!P$7,'Ffactorau Allyriadau'!$K$2:$V$2,0)))*$G20)</f>
        <v/>
      </c>
      <c r="Q20" s="54"/>
    </row>
    <row r="21" spans="1:17" s="1" customFormat="1" ht="15" thickBot="1" x14ac:dyDescent="0.4">
      <c r="A21" s="142"/>
      <c r="B21" s="126"/>
      <c r="C21" s="123"/>
      <c r="D21" s="123"/>
      <c r="E21" s="120"/>
      <c r="F21" s="123"/>
      <c r="G21" s="125" t="str">
        <f t="array" ref="G21">IF(OR($C21="",$B21="",$E21="",$F21=""),"",IF(F21=H21,E21,(INDEX('Ffactorau Allyriadau'!$K$3:$V$201,MATCH(C21&amp;D21,'Ffactorau Allyriadau'!$J$3:$J$201&amp;'Ffactorau Allyriadau'!$K$3:$K$201,0),MATCH(G$7,'Ffactorau Allyriadau'!$K$2:$V$2,0)))*E21))</f>
        <v/>
      </c>
      <c r="H21" s="29" t="str">
        <f>IF(OR($C21="",$B21="",$E21="",$F21=""),"",INDEX('Ffactorau Allyriadau'!$K$3:$V$201,MATCH('Adeiladau, Fflyd ac Offer '!$C21,'Ffactorau Allyriadau'!$J$3:$J$201,0),MATCH($H$7,'Ffactorau Allyriadau'!$K$2:$V$2,0)))</f>
        <v/>
      </c>
      <c r="I21" s="143" t="str">
        <f t="array" ref="I21">IF(OR(C21="",E21="",BuildingsTable[[#This Row],[Units]]=""),"",INDEX('Ffactorau Allyriadau'!$K$3:$V$201,MATCH('Adeiladau, Fflyd ac Offer '!$C21&amp;D21,'Ffactorau Allyriadau'!$J$3:$J$201&amp;'Ffactorau Allyriadau'!$K$3:$K$201,0),MATCH('Adeiladau, Fflyd ac Offer '!$I$7,'Ffactorau Allyriadau'!$K$2:$V$2,0)))</f>
        <v/>
      </c>
      <c r="J21" s="208" t="str">
        <f>IF(OR(G21="",I21=""),"",SUM(BuildingsTable[[#This Row],[Direct]:[Indirect WTT]]))</f>
        <v/>
      </c>
      <c r="K21" s="122"/>
      <c r="L21" s="209" t="str">
        <f t="array" ref="L21">IF(OR($C21="",$E21=""),"",(INDEX('Ffactorau Allyriadau'!$K$3:$V$201,MATCH('Adeiladau, Fflyd ac Offer '!$C21&amp;$D21,'Ffactorau Allyriadau'!$J$3:$J$201&amp;'Ffactorau Allyriadau'!$K$3:$K$201,0),MATCH('Adeiladau, Fflyd ac Offer '!L$7,'Ffactorau Allyriadau'!$K$2:$V$2,0)))*$G21)</f>
        <v/>
      </c>
      <c r="M21" s="209" t="str">
        <f t="array" ref="M21">IF(OR($C21="",$E21=""),"",(INDEX('Ffactorau Allyriadau'!$K$3:$V$201,MATCH('Adeiladau, Fflyd ac Offer '!$C21&amp;$D21,'Ffactorau Allyriadau'!$J$3:$J$201&amp;'Ffactorau Allyriadau'!$K$3:$K$201,0),MATCH('Adeiladau, Fflyd ac Offer '!M$7,'Ffactorau Allyriadau'!$K$2:$V$2,0)))*$G21)</f>
        <v/>
      </c>
      <c r="N21" s="209" t="str">
        <f t="array" ref="N21">IF(OR($C21="",$E21=""),"",(INDEX('Ffactorau Allyriadau'!$K$3:$V$201,MATCH('Adeiladau, Fflyd ac Offer '!$C21&amp;$D21,'Ffactorau Allyriadau'!$J$3:$J$201&amp;'Ffactorau Allyriadau'!$K$3:$K$201,0),MATCH('Adeiladau, Fflyd ac Offer '!N$7,'Ffactorau Allyriadau'!$K$2:$V$2,0)))*$G21)</f>
        <v/>
      </c>
      <c r="O21" s="209" t="str">
        <f t="array" ref="O21">IF(OR($C21="",$E21=""),"",(INDEX('Ffactorau Allyriadau'!$K$3:$V$201,MATCH('Adeiladau, Fflyd ac Offer '!$C21&amp;$D21,'Ffactorau Allyriadau'!$J$3:$J$201&amp;'Ffactorau Allyriadau'!$K$3:$K$201,0),MATCH('Adeiladau, Fflyd ac Offer '!O$7,'Ffactorau Allyriadau'!$K$2:$V$2,0)))*$G21)</f>
        <v/>
      </c>
      <c r="P21" s="209" t="str">
        <f t="array" ref="P21">IF(OR($C21="",$E21=""),"",(INDEX('Ffactorau Allyriadau'!$K$3:$V$201,MATCH('Adeiladau, Fflyd ac Offer '!$C21&amp;$D21,'Ffactorau Allyriadau'!$J$3:$J$201&amp;'Ffactorau Allyriadau'!$K$3:$K$201,0),MATCH('Adeiladau, Fflyd ac Offer '!P$7,'Ffactorau Allyriadau'!$K$2:$V$2,0)))*$G21)</f>
        <v/>
      </c>
      <c r="Q21" s="54"/>
    </row>
    <row r="22" spans="1:17" s="1" customFormat="1" ht="15" thickBot="1" x14ac:dyDescent="0.4">
      <c r="A22" s="142"/>
      <c r="B22" s="126"/>
      <c r="C22" s="123"/>
      <c r="D22" s="123"/>
      <c r="E22" s="120"/>
      <c r="F22" s="123"/>
      <c r="G22" s="125" t="str">
        <f t="array" ref="G22">IF(OR($C22="",$B22="",$E22="",$F22=""),"",IF(F22=H22,E22,(INDEX('Ffactorau Allyriadau'!$K$3:$V$201,MATCH(C22&amp;D22,'Ffactorau Allyriadau'!$J$3:$J$201&amp;'Ffactorau Allyriadau'!$K$3:$K$201,0),MATCH(G$7,'Ffactorau Allyriadau'!$K$2:$V$2,0)))*E22))</f>
        <v/>
      </c>
      <c r="H22" s="29" t="str">
        <f>IF(OR($C22="",$B22="",$E22="",$F22=""),"",INDEX('Ffactorau Allyriadau'!$K$3:$V$201,MATCH('Adeiladau, Fflyd ac Offer '!$C22,'Ffactorau Allyriadau'!$J$3:$J$201,0),MATCH($H$7,'Ffactorau Allyriadau'!$K$2:$V$2,0)))</f>
        <v/>
      </c>
      <c r="I22" s="143" t="str">
        <f t="array" ref="I22">IF(OR(C22="",E22="",BuildingsTable[[#This Row],[Units]]=""),"",INDEX('Ffactorau Allyriadau'!$K$3:$V$201,MATCH('Adeiladau, Fflyd ac Offer '!$C22&amp;D22,'Ffactorau Allyriadau'!$J$3:$J$201&amp;'Ffactorau Allyriadau'!$K$3:$K$201,0),MATCH('Adeiladau, Fflyd ac Offer '!$I$7,'Ffactorau Allyriadau'!$K$2:$V$2,0)))</f>
        <v/>
      </c>
      <c r="J22" s="208" t="str">
        <f>IF(OR(G22="",I22=""),"",SUM(BuildingsTable[[#This Row],[Direct]:[Indirect WTT]]))</f>
        <v/>
      </c>
      <c r="K22" s="122"/>
      <c r="L22" s="209" t="str">
        <f t="array" ref="L22">IF(OR($C22="",$E22=""),"",(INDEX('Ffactorau Allyriadau'!$K$3:$V$201,MATCH('Adeiladau, Fflyd ac Offer '!$C22&amp;$D22,'Ffactorau Allyriadau'!$J$3:$J$201&amp;'Ffactorau Allyriadau'!$K$3:$K$201,0),MATCH('Adeiladau, Fflyd ac Offer '!L$7,'Ffactorau Allyriadau'!$K$2:$V$2,0)))*$G22)</f>
        <v/>
      </c>
      <c r="M22" s="209" t="str">
        <f t="array" ref="M22">IF(OR($C22="",$E22=""),"",(INDEX('Ffactorau Allyriadau'!$K$3:$V$201,MATCH('Adeiladau, Fflyd ac Offer '!$C22&amp;$D22,'Ffactorau Allyriadau'!$J$3:$J$201&amp;'Ffactorau Allyriadau'!$K$3:$K$201,0),MATCH('Adeiladau, Fflyd ac Offer '!M$7,'Ffactorau Allyriadau'!$K$2:$V$2,0)))*$G22)</f>
        <v/>
      </c>
      <c r="N22" s="209" t="str">
        <f t="array" ref="N22">IF(OR($C22="",$E22=""),"",(INDEX('Ffactorau Allyriadau'!$K$3:$V$201,MATCH('Adeiladau, Fflyd ac Offer '!$C22&amp;$D22,'Ffactorau Allyriadau'!$J$3:$J$201&amp;'Ffactorau Allyriadau'!$K$3:$K$201,0),MATCH('Adeiladau, Fflyd ac Offer '!N$7,'Ffactorau Allyriadau'!$K$2:$V$2,0)))*$G22)</f>
        <v/>
      </c>
      <c r="O22" s="209" t="str">
        <f t="array" ref="O22">IF(OR($C22="",$E22=""),"",(INDEX('Ffactorau Allyriadau'!$K$3:$V$201,MATCH('Adeiladau, Fflyd ac Offer '!$C22&amp;$D22,'Ffactorau Allyriadau'!$J$3:$J$201&amp;'Ffactorau Allyriadau'!$K$3:$K$201,0),MATCH('Adeiladau, Fflyd ac Offer '!O$7,'Ffactorau Allyriadau'!$K$2:$V$2,0)))*$G22)</f>
        <v/>
      </c>
      <c r="P22" s="209" t="str">
        <f t="array" ref="P22">IF(OR($C22="",$E22=""),"",(INDEX('Ffactorau Allyriadau'!$K$3:$V$201,MATCH('Adeiladau, Fflyd ac Offer '!$C22&amp;$D22,'Ffactorau Allyriadau'!$J$3:$J$201&amp;'Ffactorau Allyriadau'!$K$3:$K$201,0),MATCH('Adeiladau, Fflyd ac Offer '!P$7,'Ffactorau Allyriadau'!$K$2:$V$2,0)))*$G22)</f>
        <v/>
      </c>
      <c r="Q22" s="54"/>
    </row>
    <row r="23" spans="1:17" s="1" customFormat="1" ht="15" thickBot="1" x14ac:dyDescent="0.4">
      <c r="A23" s="142"/>
      <c r="B23" s="126"/>
      <c r="C23" s="123"/>
      <c r="D23" s="123"/>
      <c r="E23" s="120"/>
      <c r="F23" s="123"/>
      <c r="G23" s="125" t="str">
        <f t="array" ref="G23">IF(OR($C23="",$B23="",$E23="",$F23=""),"",IF(F23=H23,E23,(INDEX('Ffactorau Allyriadau'!$K$3:$V$201,MATCH(C23&amp;D23,'Ffactorau Allyriadau'!$J$3:$J$201&amp;'Ffactorau Allyriadau'!$K$3:$K$201,0),MATCH(G$7,'Ffactorau Allyriadau'!$K$2:$V$2,0)))*E23))</f>
        <v/>
      </c>
      <c r="H23" s="29" t="str">
        <f>IF(OR($C23="",$B23="",$E23="",$F23=""),"",INDEX('Ffactorau Allyriadau'!$K$3:$V$201,MATCH('Adeiladau, Fflyd ac Offer '!$C23,'Ffactorau Allyriadau'!$J$3:$J$201,0),MATCH($H$7,'Ffactorau Allyriadau'!$K$2:$V$2,0)))</f>
        <v/>
      </c>
      <c r="I23" s="143" t="str">
        <f t="array" ref="I23">IF(OR(C23="",E23="",BuildingsTable[[#This Row],[Units]]=""),"",INDEX('Ffactorau Allyriadau'!$K$3:$V$201,MATCH('Adeiladau, Fflyd ac Offer '!$C23&amp;D23,'Ffactorau Allyriadau'!$J$3:$J$201&amp;'Ffactorau Allyriadau'!$K$3:$K$201,0),MATCH('Adeiladau, Fflyd ac Offer '!$I$7,'Ffactorau Allyriadau'!$K$2:$V$2,0)))</f>
        <v/>
      </c>
      <c r="J23" s="208" t="str">
        <f>IF(OR(G23="",I23=""),"",SUM(BuildingsTable[[#This Row],[Direct]:[Indirect WTT]]))</f>
        <v/>
      </c>
      <c r="K23" s="122"/>
      <c r="L23" s="209" t="str">
        <f t="array" ref="L23">IF(OR($C23="",$E23=""),"",(INDEX('Ffactorau Allyriadau'!$K$3:$V$201,MATCH('Adeiladau, Fflyd ac Offer '!$C23&amp;$D23,'Ffactorau Allyriadau'!$J$3:$J$201&amp;'Ffactorau Allyriadau'!$K$3:$K$201,0),MATCH('Adeiladau, Fflyd ac Offer '!L$7,'Ffactorau Allyriadau'!$K$2:$V$2,0)))*$G23)</f>
        <v/>
      </c>
      <c r="M23" s="209" t="str">
        <f t="array" ref="M23">IF(OR($C23="",$E23=""),"",(INDEX('Ffactorau Allyriadau'!$K$3:$V$201,MATCH('Adeiladau, Fflyd ac Offer '!$C23&amp;$D23,'Ffactorau Allyriadau'!$J$3:$J$201&amp;'Ffactorau Allyriadau'!$K$3:$K$201,0),MATCH('Adeiladau, Fflyd ac Offer '!M$7,'Ffactorau Allyriadau'!$K$2:$V$2,0)))*$G23)</f>
        <v/>
      </c>
      <c r="N23" s="209" t="str">
        <f t="array" ref="N23">IF(OR($C23="",$E23=""),"",(INDEX('Ffactorau Allyriadau'!$K$3:$V$201,MATCH('Adeiladau, Fflyd ac Offer '!$C23&amp;$D23,'Ffactorau Allyriadau'!$J$3:$J$201&amp;'Ffactorau Allyriadau'!$K$3:$K$201,0),MATCH('Adeiladau, Fflyd ac Offer '!N$7,'Ffactorau Allyriadau'!$K$2:$V$2,0)))*$G23)</f>
        <v/>
      </c>
      <c r="O23" s="209" t="str">
        <f t="array" ref="O23">IF(OR($C23="",$E23=""),"",(INDEX('Ffactorau Allyriadau'!$K$3:$V$201,MATCH('Adeiladau, Fflyd ac Offer '!$C23&amp;$D23,'Ffactorau Allyriadau'!$J$3:$J$201&amp;'Ffactorau Allyriadau'!$K$3:$K$201,0),MATCH('Adeiladau, Fflyd ac Offer '!O$7,'Ffactorau Allyriadau'!$K$2:$V$2,0)))*$G23)</f>
        <v/>
      </c>
      <c r="P23" s="209" t="str">
        <f t="array" ref="P23">IF(OR($C23="",$E23=""),"",(INDEX('Ffactorau Allyriadau'!$K$3:$V$201,MATCH('Adeiladau, Fflyd ac Offer '!$C23&amp;$D23,'Ffactorau Allyriadau'!$J$3:$J$201&amp;'Ffactorau Allyriadau'!$K$3:$K$201,0),MATCH('Adeiladau, Fflyd ac Offer '!P$7,'Ffactorau Allyriadau'!$K$2:$V$2,0)))*$G23)</f>
        <v/>
      </c>
      <c r="Q23" s="54"/>
    </row>
    <row r="24" spans="1:17" s="1" customFormat="1" ht="15" thickBot="1" x14ac:dyDescent="0.4">
      <c r="A24" s="142"/>
      <c r="B24" s="126"/>
      <c r="C24" s="123"/>
      <c r="D24" s="123"/>
      <c r="E24" s="120"/>
      <c r="F24" s="123"/>
      <c r="G24" s="125" t="str">
        <f t="array" ref="G24">IF(OR($C24="",$B24="",$E24="",$F24=""),"",IF(F24=H24,E24,(INDEX('Ffactorau Allyriadau'!$K$3:$V$201,MATCH(C24&amp;D24,'Ffactorau Allyriadau'!$J$3:$J$201&amp;'Ffactorau Allyriadau'!$K$3:$K$201,0),MATCH(G$7,'Ffactorau Allyriadau'!$K$2:$V$2,0)))*E24))</f>
        <v/>
      </c>
      <c r="H24" s="29" t="str">
        <f>IF(OR($C24="",$B24="",$E24="",$F24=""),"",INDEX('Ffactorau Allyriadau'!$K$3:$V$201,MATCH('Adeiladau, Fflyd ac Offer '!$C24,'Ffactorau Allyriadau'!$J$3:$J$201,0),MATCH($H$7,'Ffactorau Allyriadau'!$K$2:$V$2,0)))</f>
        <v/>
      </c>
      <c r="I24" s="143" t="str">
        <f t="array" ref="I24">IF(OR(C24="",E24="",BuildingsTable[[#This Row],[Units]]=""),"",INDEX('Ffactorau Allyriadau'!$K$3:$V$201,MATCH('Adeiladau, Fflyd ac Offer '!$C24&amp;D24,'Ffactorau Allyriadau'!$J$3:$J$201&amp;'Ffactorau Allyriadau'!$K$3:$K$201,0),MATCH('Adeiladau, Fflyd ac Offer '!$I$7,'Ffactorau Allyriadau'!$K$2:$V$2,0)))</f>
        <v/>
      </c>
      <c r="J24" s="208" t="str">
        <f>IF(OR(G24="",I24=""),"",SUM(BuildingsTable[[#This Row],[Direct]:[Indirect WTT]]))</f>
        <v/>
      </c>
      <c r="K24" s="122"/>
      <c r="L24" s="209" t="str">
        <f t="array" ref="L24">IF(OR($C24="",$E24=""),"",(INDEX('Ffactorau Allyriadau'!$K$3:$V$201,MATCH('Adeiladau, Fflyd ac Offer '!$C24&amp;$D24,'Ffactorau Allyriadau'!$J$3:$J$201&amp;'Ffactorau Allyriadau'!$K$3:$K$201,0),MATCH('Adeiladau, Fflyd ac Offer '!L$7,'Ffactorau Allyriadau'!$K$2:$V$2,0)))*$G24)</f>
        <v/>
      </c>
      <c r="M24" s="209" t="str">
        <f t="array" ref="M24">IF(OR($C24="",$E24=""),"",(INDEX('Ffactorau Allyriadau'!$K$3:$V$201,MATCH('Adeiladau, Fflyd ac Offer '!$C24&amp;$D24,'Ffactorau Allyriadau'!$J$3:$J$201&amp;'Ffactorau Allyriadau'!$K$3:$K$201,0),MATCH('Adeiladau, Fflyd ac Offer '!M$7,'Ffactorau Allyriadau'!$K$2:$V$2,0)))*$G24)</f>
        <v/>
      </c>
      <c r="N24" s="209" t="str">
        <f t="array" ref="N24">IF(OR($C24="",$E24=""),"",(INDEX('Ffactorau Allyriadau'!$K$3:$V$201,MATCH('Adeiladau, Fflyd ac Offer '!$C24&amp;$D24,'Ffactorau Allyriadau'!$J$3:$J$201&amp;'Ffactorau Allyriadau'!$K$3:$K$201,0),MATCH('Adeiladau, Fflyd ac Offer '!N$7,'Ffactorau Allyriadau'!$K$2:$V$2,0)))*$G24)</f>
        <v/>
      </c>
      <c r="O24" s="209" t="str">
        <f t="array" ref="O24">IF(OR($C24="",$E24=""),"",(INDEX('Ffactorau Allyriadau'!$K$3:$V$201,MATCH('Adeiladau, Fflyd ac Offer '!$C24&amp;$D24,'Ffactorau Allyriadau'!$J$3:$J$201&amp;'Ffactorau Allyriadau'!$K$3:$K$201,0),MATCH('Adeiladau, Fflyd ac Offer '!O$7,'Ffactorau Allyriadau'!$K$2:$V$2,0)))*$G24)</f>
        <v/>
      </c>
      <c r="P24" s="209" t="str">
        <f t="array" ref="P24">IF(OR($C24="",$E24=""),"",(INDEX('Ffactorau Allyriadau'!$K$3:$V$201,MATCH('Adeiladau, Fflyd ac Offer '!$C24&amp;$D24,'Ffactorau Allyriadau'!$J$3:$J$201&amp;'Ffactorau Allyriadau'!$K$3:$K$201,0),MATCH('Adeiladau, Fflyd ac Offer '!P$7,'Ffactorau Allyriadau'!$K$2:$V$2,0)))*$G24)</f>
        <v/>
      </c>
      <c r="Q24" s="54"/>
    </row>
    <row r="25" spans="1:17" s="1" customFormat="1" ht="15" thickBot="1" x14ac:dyDescent="0.4">
      <c r="A25" s="142"/>
      <c r="B25" s="126"/>
      <c r="C25" s="123"/>
      <c r="D25" s="123"/>
      <c r="E25" s="120"/>
      <c r="F25" s="123"/>
      <c r="G25" s="125" t="str">
        <f t="array" ref="G25">IF(OR($C25="",$B25="",$E25="",$F25=""),"",IF(F25=H25,E25,(INDEX('Ffactorau Allyriadau'!$K$3:$V$201,MATCH(C25&amp;D25,'Ffactorau Allyriadau'!$J$3:$J$201&amp;'Ffactorau Allyriadau'!$K$3:$K$201,0),MATCH(G$7,'Ffactorau Allyriadau'!$K$2:$V$2,0)))*E25))</f>
        <v/>
      </c>
      <c r="H25" s="29" t="str">
        <f>IF(OR($C25="",$B25="",$E25="",$F25=""),"",INDEX('Ffactorau Allyriadau'!$K$3:$V$201,MATCH('Adeiladau, Fflyd ac Offer '!$C25,'Ffactorau Allyriadau'!$J$3:$J$201,0),MATCH($H$7,'Ffactorau Allyriadau'!$K$2:$V$2,0)))</f>
        <v/>
      </c>
      <c r="I25" s="143" t="str">
        <f t="array" ref="I25">IF(OR(C25="",E25="",BuildingsTable[[#This Row],[Units]]=""),"",INDEX('Ffactorau Allyriadau'!$K$3:$V$201,MATCH('Adeiladau, Fflyd ac Offer '!$C25&amp;D25,'Ffactorau Allyriadau'!$J$3:$J$201&amp;'Ffactorau Allyriadau'!$K$3:$K$201,0),MATCH('Adeiladau, Fflyd ac Offer '!$I$7,'Ffactorau Allyriadau'!$K$2:$V$2,0)))</f>
        <v/>
      </c>
      <c r="J25" s="208" t="str">
        <f>IF(OR(G25="",I25=""),"",SUM(BuildingsTable[[#This Row],[Direct]:[Indirect WTT]]))</f>
        <v/>
      </c>
      <c r="K25" s="122"/>
      <c r="L25" s="209" t="str">
        <f t="array" ref="L25">IF(OR($C25="",$E25=""),"",(INDEX('Ffactorau Allyriadau'!$K$3:$V$201,MATCH('Adeiladau, Fflyd ac Offer '!$C25&amp;$D25,'Ffactorau Allyriadau'!$J$3:$J$201&amp;'Ffactorau Allyriadau'!$K$3:$K$201,0),MATCH('Adeiladau, Fflyd ac Offer '!L$7,'Ffactorau Allyriadau'!$K$2:$V$2,0)))*$G25)</f>
        <v/>
      </c>
      <c r="M25" s="209" t="str">
        <f t="array" ref="M25">IF(OR($C25="",$E25=""),"",(INDEX('Ffactorau Allyriadau'!$K$3:$V$201,MATCH('Adeiladau, Fflyd ac Offer '!$C25&amp;$D25,'Ffactorau Allyriadau'!$J$3:$J$201&amp;'Ffactorau Allyriadau'!$K$3:$K$201,0),MATCH('Adeiladau, Fflyd ac Offer '!M$7,'Ffactorau Allyriadau'!$K$2:$V$2,0)))*$G25)</f>
        <v/>
      </c>
      <c r="N25" s="209" t="str">
        <f t="array" ref="N25">IF(OR($C25="",$E25=""),"",(INDEX('Ffactorau Allyriadau'!$K$3:$V$201,MATCH('Adeiladau, Fflyd ac Offer '!$C25&amp;$D25,'Ffactorau Allyriadau'!$J$3:$J$201&amp;'Ffactorau Allyriadau'!$K$3:$K$201,0),MATCH('Adeiladau, Fflyd ac Offer '!N$7,'Ffactorau Allyriadau'!$K$2:$V$2,0)))*$G25)</f>
        <v/>
      </c>
      <c r="O25" s="209" t="str">
        <f t="array" ref="O25">IF(OR($C25="",$E25=""),"",(INDEX('Ffactorau Allyriadau'!$K$3:$V$201,MATCH('Adeiladau, Fflyd ac Offer '!$C25&amp;$D25,'Ffactorau Allyriadau'!$J$3:$J$201&amp;'Ffactorau Allyriadau'!$K$3:$K$201,0),MATCH('Adeiladau, Fflyd ac Offer '!O$7,'Ffactorau Allyriadau'!$K$2:$V$2,0)))*$G25)</f>
        <v/>
      </c>
      <c r="P25" s="209" t="str">
        <f t="array" ref="P25">IF(OR($C25="",$E25=""),"",(INDEX('Ffactorau Allyriadau'!$K$3:$V$201,MATCH('Adeiladau, Fflyd ac Offer '!$C25&amp;$D25,'Ffactorau Allyriadau'!$J$3:$J$201&amp;'Ffactorau Allyriadau'!$K$3:$K$201,0),MATCH('Adeiladau, Fflyd ac Offer '!P$7,'Ffactorau Allyriadau'!$K$2:$V$2,0)))*$G25)</f>
        <v/>
      </c>
      <c r="Q25" s="54"/>
    </row>
    <row r="26" spans="1:17" s="1" customFormat="1" ht="15" thickBot="1" x14ac:dyDescent="0.4">
      <c r="A26" s="142"/>
      <c r="B26" s="126"/>
      <c r="C26" s="123"/>
      <c r="D26" s="123"/>
      <c r="E26" s="120"/>
      <c r="F26" s="123"/>
      <c r="G26" s="125" t="str">
        <f t="array" ref="G26">IF(OR($C26="",$B26="",$E26="",$F26=""),"",IF(F26=H26,E26,(INDEX('Ffactorau Allyriadau'!$K$3:$V$201,MATCH(C26&amp;D26,'Ffactorau Allyriadau'!$J$3:$J$201&amp;'Ffactorau Allyriadau'!$K$3:$K$201,0),MATCH(G$7,'Ffactorau Allyriadau'!$K$2:$V$2,0)))*E26))</f>
        <v/>
      </c>
      <c r="H26" s="29" t="str">
        <f>IF(OR($C26="",$B26="",$E26="",$F26=""),"",INDEX('Ffactorau Allyriadau'!$K$3:$V$201,MATCH('Adeiladau, Fflyd ac Offer '!$C26,'Ffactorau Allyriadau'!$J$3:$J$201,0),MATCH($H$7,'Ffactorau Allyriadau'!$K$2:$V$2,0)))</f>
        <v/>
      </c>
      <c r="I26" s="143" t="str">
        <f t="array" ref="I26">IF(OR(C26="",E26="",BuildingsTable[[#This Row],[Units]]=""),"",INDEX('Ffactorau Allyriadau'!$K$3:$V$201,MATCH('Adeiladau, Fflyd ac Offer '!$C26&amp;D26,'Ffactorau Allyriadau'!$J$3:$J$201&amp;'Ffactorau Allyriadau'!$K$3:$K$201,0),MATCH('Adeiladau, Fflyd ac Offer '!$I$7,'Ffactorau Allyriadau'!$K$2:$V$2,0)))</f>
        <v/>
      </c>
      <c r="J26" s="208" t="str">
        <f>IF(OR(G26="",I26=""),"",SUM(BuildingsTable[[#This Row],[Direct]:[Indirect WTT]]))</f>
        <v/>
      </c>
      <c r="K26" s="122"/>
      <c r="L26" s="209" t="str">
        <f t="array" ref="L26">IF(OR($C26="",$E26=""),"",(INDEX('Ffactorau Allyriadau'!$K$3:$V$201,MATCH('Adeiladau, Fflyd ac Offer '!$C26&amp;$D26,'Ffactorau Allyriadau'!$J$3:$J$201&amp;'Ffactorau Allyriadau'!$K$3:$K$201,0),MATCH('Adeiladau, Fflyd ac Offer '!L$7,'Ffactorau Allyriadau'!$K$2:$V$2,0)))*$G26)</f>
        <v/>
      </c>
      <c r="M26" s="209" t="str">
        <f t="array" ref="M26">IF(OR($C26="",$E26=""),"",(INDEX('Ffactorau Allyriadau'!$K$3:$V$201,MATCH('Adeiladau, Fflyd ac Offer '!$C26&amp;$D26,'Ffactorau Allyriadau'!$J$3:$J$201&amp;'Ffactorau Allyriadau'!$K$3:$K$201,0),MATCH('Adeiladau, Fflyd ac Offer '!M$7,'Ffactorau Allyriadau'!$K$2:$V$2,0)))*$G26)</f>
        <v/>
      </c>
      <c r="N26" s="209" t="str">
        <f t="array" ref="N26">IF(OR($C26="",$E26=""),"",(INDEX('Ffactorau Allyriadau'!$K$3:$V$201,MATCH('Adeiladau, Fflyd ac Offer '!$C26&amp;$D26,'Ffactorau Allyriadau'!$J$3:$J$201&amp;'Ffactorau Allyriadau'!$K$3:$K$201,0),MATCH('Adeiladau, Fflyd ac Offer '!N$7,'Ffactorau Allyriadau'!$K$2:$V$2,0)))*$G26)</f>
        <v/>
      </c>
      <c r="O26" s="209" t="str">
        <f t="array" ref="O26">IF(OR($C26="",$E26=""),"",(INDEX('Ffactorau Allyriadau'!$K$3:$V$201,MATCH('Adeiladau, Fflyd ac Offer '!$C26&amp;$D26,'Ffactorau Allyriadau'!$J$3:$J$201&amp;'Ffactorau Allyriadau'!$K$3:$K$201,0),MATCH('Adeiladau, Fflyd ac Offer '!O$7,'Ffactorau Allyriadau'!$K$2:$V$2,0)))*$G26)</f>
        <v/>
      </c>
      <c r="P26" s="209" t="str">
        <f t="array" ref="P26">IF(OR($C26="",$E26=""),"",(INDEX('Ffactorau Allyriadau'!$K$3:$V$201,MATCH('Adeiladau, Fflyd ac Offer '!$C26&amp;$D26,'Ffactorau Allyriadau'!$J$3:$J$201&amp;'Ffactorau Allyriadau'!$K$3:$K$201,0),MATCH('Adeiladau, Fflyd ac Offer '!P$7,'Ffactorau Allyriadau'!$K$2:$V$2,0)))*$G26)</f>
        <v/>
      </c>
      <c r="Q26" s="54"/>
    </row>
    <row r="27" spans="1:17" s="1" customFormat="1" ht="15" thickBot="1" x14ac:dyDescent="0.4">
      <c r="A27" s="142"/>
      <c r="B27" s="126"/>
      <c r="C27" s="123"/>
      <c r="D27" s="123"/>
      <c r="E27" s="120"/>
      <c r="F27" s="123"/>
      <c r="G27" s="125" t="str">
        <f t="array" ref="G27">IF(OR($C27="",$B27="",$E27="",$F27=""),"",IF(F27=H27,E27,(INDEX('Ffactorau Allyriadau'!$K$3:$V$201,MATCH(C27&amp;D27,'Ffactorau Allyriadau'!$J$3:$J$201&amp;'Ffactorau Allyriadau'!$K$3:$K$201,0),MATCH(G$7,'Ffactorau Allyriadau'!$K$2:$V$2,0)))*E27))</f>
        <v/>
      </c>
      <c r="H27" s="29" t="str">
        <f>IF(OR($C27="",$B27="",$E27="",$F27=""),"",INDEX('Ffactorau Allyriadau'!$K$3:$V$201,MATCH('Adeiladau, Fflyd ac Offer '!$C27,'Ffactorau Allyriadau'!$J$3:$J$201,0),MATCH($H$7,'Ffactorau Allyriadau'!$K$2:$V$2,0)))</f>
        <v/>
      </c>
      <c r="I27" s="143" t="str">
        <f t="array" ref="I27">IF(OR(C27="",E27="",BuildingsTable[[#This Row],[Units]]=""),"",INDEX('Ffactorau Allyriadau'!$K$3:$V$201,MATCH('Adeiladau, Fflyd ac Offer '!$C27&amp;D27,'Ffactorau Allyriadau'!$J$3:$J$201&amp;'Ffactorau Allyriadau'!$K$3:$K$201,0),MATCH('Adeiladau, Fflyd ac Offer '!$I$7,'Ffactorau Allyriadau'!$K$2:$V$2,0)))</f>
        <v/>
      </c>
      <c r="J27" s="208" t="str">
        <f>IF(OR(G27="",I27=""),"",SUM(BuildingsTable[[#This Row],[Direct]:[Indirect WTT]]))</f>
        <v/>
      </c>
      <c r="K27" s="122"/>
      <c r="L27" s="209" t="str">
        <f t="array" ref="L27">IF(OR($C27="",$E27=""),"",(INDEX('Ffactorau Allyriadau'!$K$3:$V$201,MATCH('Adeiladau, Fflyd ac Offer '!$C27&amp;$D27,'Ffactorau Allyriadau'!$J$3:$J$201&amp;'Ffactorau Allyriadau'!$K$3:$K$201,0),MATCH('Adeiladau, Fflyd ac Offer '!L$7,'Ffactorau Allyriadau'!$K$2:$V$2,0)))*$G27)</f>
        <v/>
      </c>
      <c r="M27" s="209" t="str">
        <f t="array" ref="M27">IF(OR($C27="",$E27=""),"",(INDEX('Ffactorau Allyriadau'!$K$3:$V$201,MATCH('Adeiladau, Fflyd ac Offer '!$C27&amp;$D27,'Ffactorau Allyriadau'!$J$3:$J$201&amp;'Ffactorau Allyriadau'!$K$3:$K$201,0),MATCH('Adeiladau, Fflyd ac Offer '!M$7,'Ffactorau Allyriadau'!$K$2:$V$2,0)))*$G27)</f>
        <v/>
      </c>
      <c r="N27" s="209" t="str">
        <f t="array" ref="N27">IF(OR($C27="",$E27=""),"",(INDEX('Ffactorau Allyriadau'!$K$3:$V$201,MATCH('Adeiladau, Fflyd ac Offer '!$C27&amp;$D27,'Ffactorau Allyriadau'!$J$3:$J$201&amp;'Ffactorau Allyriadau'!$K$3:$K$201,0),MATCH('Adeiladau, Fflyd ac Offer '!N$7,'Ffactorau Allyriadau'!$K$2:$V$2,0)))*$G27)</f>
        <v/>
      </c>
      <c r="O27" s="209" t="str">
        <f t="array" ref="O27">IF(OR($C27="",$E27=""),"",(INDEX('Ffactorau Allyriadau'!$K$3:$V$201,MATCH('Adeiladau, Fflyd ac Offer '!$C27&amp;$D27,'Ffactorau Allyriadau'!$J$3:$J$201&amp;'Ffactorau Allyriadau'!$K$3:$K$201,0),MATCH('Adeiladau, Fflyd ac Offer '!O$7,'Ffactorau Allyriadau'!$K$2:$V$2,0)))*$G27)</f>
        <v/>
      </c>
      <c r="P27" s="209" t="str">
        <f t="array" ref="P27">IF(OR($C27="",$E27=""),"",(INDEX('Ffactorau Allyriadau'!$K$3:$V$201,MATCH('Adeiladau, Fflyd ac Offer '!$C27&amp;$D27,'Ffactorau Allyriadau'!$J$3:$J$201&amp;'Ffactorau Allyriadau'!$K$3:$K$201,0),MATCH('Adeiladau, Fflyd ac Offer '!P$7,'Ffactorau Allyriadau'!$K$2:$V$2,0)))*$G27)</f>
        <v/>
      </c>
      <c r="Q27" s="54"/>
    </row>
    <row r="28" spans="1:17" s="1" customFormat="1" ht="15" thickBot="1" x14ac:dyDescent="0.4">
      <c r="A28" s="142"/>
      <c r="B28" s="126"/>
      <c r="C28" s="123"/>
      <c r="D28" s="123"/>
      <c r="E28" s="120"/>
      <c r="F28" s="123"/>
      <c r="G28" s="125" t="str">
        <f t="array" ref="G28">IF(OR($C28="",$B28="",$E28="",$F28=""),"",IF(F28=H28,E28,(INDEX('Ffactorau Allyriadau'!$K$3:$V$201,MATCH(C28&amp;D28,'Ffactorau Allyriadau'!$J$3:$J$201&amp;'Ffactorau Allyriadau'!$K$3:$K$201,0),MATCH(G$7,'Ffactorau Allyriadau'!$K$2:$V$2,0)))*E28))</f>
        <v/>
      </c>
      <c r="H28" s="29" t="str">
        <f>IF(OR($C28="",$B28="",$E28="",$F28=""),"",INDEX('Ffactorau Allyriadau'!$K$3:$V$201,MATCH('Adeiladau, Fflyd ac Offer '!$C28,'Ffactorau Allyriadau'!$J$3:$J$201,0),MATCH($H$7,'Ffactorau Allyriadau'!$K$2:$V$2,0)))</f>
        <v/>
      </c>
      <c r="I28" s="143" t="str">
        <f t="array" ref="I28">IF(OR(C28="",E28="",BuildingsTable[[#This Row],[Units]]=""),"",INDEX('Ffactorau Allyriadau'!$K$3:$V$201,MATCH('Adeiladau, Fflyd ac Offer '!$C28&amp;D28,'Ffactorau Allyriadau'!$J$3:$J$201&amp;'Ffactorau Allyriadau'!$K$3:$K$201,0),MATCH('Adeiladau, Fflyd ac Offer '!$I$7,'Ffactorau Allyriadau'!$K$2:$V$2,0)))</f>
        <v/>
      </c>
      <c r="J28" s="208" t="str">
        <f>IF(OR(G28="",I28=""),"",SUM(BuildingsTable[[#This Row],[Direct]:[Indirect WTT]]))</f>
        <v/>
      </c>
      <c r="K28" s="122"/>
      <c r="L28" s="209" t="str">
        <f t="array" ref="L28">IF(OR($C28="",$E28=""),"",(INDEX('Ffactorau Allyriadau'!$K$3:$V$201,MATCH('Adeiladau, Fflyd ac Offer '!$C28&amp;$D28,'Ffactorau Allyriadau'!$J$3:$J$201&amp;'Ffactorau Allyriadau'!$K$3:$K$201,0),MATCH('Adeiladau, Fflyd ac Offer '!L$7,'Ffactorau Allyriadau'!$K$2:$V$2,0)))*$G28)</f>
        <v/>
      </c>
      <c r="M28" s="209" t="str">
        <f t="array" ref="M28">IF(OR($C28="",$E28=""),"",(INDEX('Ffactorau Allyriadau'!$K$3:$V$201,MATCH('Adeiladau, Fflyd ac Offer '!$C28&amp;$D28,'Ffactorau Allyriadau'!$J$3:$J$201&amp;'Ffactorau Allyriadau'!$K$3:$K$201,0),MATCH('Adeiladau, Fflyd ac Offer '!M$7,'Ffactorau Allyriadau'!$K$2:$V$2,0)))*$G28)</f>
        <v/>
      </c>
      <c r="N28" s="209" t="str">
        <f t="array" ref="N28">IF(OR($C28="",$E28=""),"",(INDEX('Ffactorau Allyriadau'!$K$3:$V$201,MATCH('Adeiladau, Fflyd ac Offer '!$C28&amp;$D28,'Ffactorau Allyriadau'!$J$3:$J$201&amp;'Ffactorau Allyriadau'!$K$3:$K$201,0),MATCH('Adeiladau, Fflyd ac Offer '!N$7,'Ffactorau Allyriadau'!$K$2:$V$2,0)))*$G28)</f>
        <v/>
      </c>
      <c r="O28" s="209" t="str">
        <f t="array" ref="O28">IF(OR($C28="",$E28=""),"",(INDEX('Ffactorau Allyriadau'!$K$3:$V$201,MATCH('Adeiladau, Fflyd ac Offer '!$C28&amp;$D28,'Ffactorau Allyriadau'!$J$3:$J$201&amp;'Ffactorau Allyriadau'!$K$3:$K$201,0),MATCH('Adeiladau, Fflyd ac Offer '!O$7,'Ffactorau Allyriadau'!$K$2:$V$2,0)))*$G28)</f>
        <v/>
      </c>
      <c r="P28" s="209" t="str">
        <f t="array" ref="P28">IF(OR($C28="",$E28=""),"",(INDEX('Ffactorau Allyriadau'!$K$3:$V$201,MATCH('Adeiladau, Fflyd ac Offer '!$C28&amp;$D28,'Ffactorau Allyriadau'!$J$3:$J$201&amp;'Ffactorau Allyriadau'!$K$3:$K$201,0),MATCH('Adeiladau, Fflyd ac Offer '!P$7,'Ffactorau Allyriadau'!$K$2:$V$2,0)))*$G28)</f>
        <v/>
      </c>
      <c r="Q28" s="54"/>
    </row>
    <row r="29" spans="1:17" s="1" customFormat="1" ht="15" thickBot="1" x14ac:dyDescent="0.4">
      <c r="A29" s="142"/>
      <c r="B29" s="126"/>
      <c r="C29" s="123"/>
      <c r="D29" s="123"/>
      <c r="E29" s="120"/>
      <c r="F29" s="123"/>
      <c r="G29" s="125" t="str">
        <f t="array" ref="G29">IF(OR($C29="",$B29="",$E29="",$F29=""),"",IF(F29=H29,E29,(INDEX('Ffactorau Allyriadau'!$K$3:$V$201,MATCH(C29&amp;D29,'Ffactorau Allyriadau'!$J$3:$J$201&amp;'Ffactorau Allyriadau'!$K$3:$K$201,0),MATCH(G$7,'Ffactorau Allyriadau'!$K$2:$V$2,0)))*E29))</f>
        <v/>
      </c>
      <c r="H29" s="29" t="str">
        <f>IF(OR($C29="",$B29="",$E29="",$F29=""),"",INDEX('Ffactorau Allyriadau'!$K$3:$V$201,MATCH('Adeiladau, Fflyd ac Offer '!$C29,'Ffactorau Allyriadau'!$J$3:$J$201,0),MATCH($H$7,'Ffactorau Allyriadau'!$K$2:$V$2,0)))</f>
        <v/>
      </c>
      <c r="I29" s="143" t="str">
        <f t="array" ref="I29">IF(OR(C29="",E29="",BuildingsTable[[#This Row],[Units]]=""),"",INDEX('Ffactorau Allyriadau'!$K$3:$V$201,MATCH('Adeiladau, Fflyd ac Offer '!$C29&amp;D29,'Ffactorau Allyriadau'!$J$3:$J$201&amp;'Ffactorau Allyriadau'!$K$3:$K$201,0),MATCH('Adeiladau, Fflyd ac Offer '!$I$7,'Ffactorau Allyriadau'!$K$2:$V$2,0)))</f>
        <v/>
      </c>
      <c r="J29" s="208" t="str">
        <f>IF(OR(G29="",I29=""),"",SUM(BuildingsTable[[#This Row],[Direct]:[Indirect WTT]]))</f>
        <v/>
      </c>
      <c r="K29" s="122"/>
      <c r="L29" s="209" t="str">
        <f t="array" ref="L29">IF(OR($C29="",$E29=""),"",(INDEX('Ffactorau Allyriadau'!$K$3:$V$201,MATCH('Adeiladau, Fflyd ac Offer '!$C29&amp;$D29,'Ffactorau Allyriadau'!$J$3:$J$201&amp;'Ffactorau Allyriadau'!$K$3:$K$201,0),MATCH('Adeiladau, Fflyd ac Offer '!L$7,'Ffactorau Allyriadau'!$K$2:$V$2,0)))*$G29)</f>
        <v/>
      </c>
      <c r="M29" s="209" t="str">
        <f t="array" ref="M29">IF(OR($C29="",$E29=""),"",(INDEX('Ffactorau Allyriadau'!$K$3:$V$201,MATCH('Adeiladau, Fflyd ac Offer '!$C29&amp;$D29,'Ffactorau Allyriadau'!$J$3:$J$201&amp;'Ffactorau Allyriadau'!$K$3:$K$201,0),MATCH('Adeiladau, Fflyd ac Offer '!M$7,'Ffactorau Allyriadau'!$K$2:$V$2,0)))*$G29)</f>
        <v/>
      </c>
      <c r="N29" s="209" t="str">
        <f t="array" ref="N29">IF(OR($C29="",$E29=""),"",(INDEX('Ffactorau Allyriadau'!$K$3:$V$201,MATCH('Adeiladau, Fflyd ac Offer '!$C29&amp;$D29,'Ffactorau Allyriadau'!$J$3:$J$201&amp;'Ffactorau Allyriadau'!$K$3:$K$201,0),MATCH('Adeiladau, Fflyd ac Offer '!N$7,'Ffactorau Allyriadau'!$K$2:$V$2,0)))*$G29)</f>
        <v/>
      </c>
      <c r="O29" s="209" t="str">
        <f t="array" ref="O29">IF(OR($C29="",$E29=""),"",(INDEX('Ffactorau Allyriadau'!$K$3:$V$201,MATCH('Adeiladau, Fflyd ac Offer '!$C29&amp;$D29,'Ffactorau Allyriadau'!$J$3:$J$201&amp;'Ffactorau Allyriadau'!$K$3:$K$201,0),MATCH('Adeiladau, Fflyd ac Offer '!O$7,'Ffactorau Allyriadau'!$K$2:$V$2,0)))*$G29)</f>
        <v/>
      </c>
      <c r="P29" s="209" t="str">
        <f t="array" ref="P29">IF(OR($C29="",$E29=""),"",(INDEX('Ffactorau Allyriadau'!$K$3:$V$201,MATCH('Adeiladau, Fflyd ac Offer '!$C29&amp;$D29,'Ffactorau Allyriadau'!$J$3:$J$201&amp;'Ffactorau Allyriadau'!$K$3:$K$201,0),MATCH('Adeiladau, Fflyd ac Offer '!P$7,'Ffactorau Allyriadau'!$K$2:$V$2,0)))*$G29)</f>
        <v/>
      </c>
      <c r="Q29" s="54"/>
    </row>
    <row r="30" spans="1:17" s="1" customFormat="1" ht="15" thickBot="1" x14ac:dyDescent="0.4">
      <c r="A30" s="142"/>
      <c r="B30" s="126"/>
      <c r="C30" s="123"/>
      <c r="D30" s="123"/>
      <c r="E30" s="120"/>
      <c r="F30" s="123"/>
      <c r="G30" s="125" t="str">
        <f t="array" ref="G30">IF(OR($C30="",$B30="",$E30="",$F30=""),"",IF(F30=H30,E30,(INDEX('Ffactorau Allyriadau'!$K$3:$V$201,MATCH(C30&amp;D30,'Ffactorau Allyriadau'!$J$3:$J$201&amp;'Ffactorau Allyriadau'!$K$3:$K$201,0),MATCH(G$7,'Ffactorau Allyriadau'!$K$2:$V$2,0)))*E30))</f>
        <v/>
      </c>
      <c r="H30" s="29" t="str">
        <f>IF(OR($C30="",$B30="",$E30="",$F30=""),"",INDEX('Ffactorau Allyriadau'!$K$3:$V$201,MATCH('Adeiladau, Fflyd ac Offer '!$C30,'Ffactorau Allyriadau'!$J$3:$J$201,0),MATCH($H$7,'Ffactorau Allyriadau'!$K$2:$V$2,0)))</f>
        <v/>
      </c>
      <c r="I30" s="143" t="str">
        <f t="array" ref="I30">IF(OR(C30="",E30="",BuildingsTable[[#This Row],[Units]]=""),"",INDEX('Ffactorau Allyriadau'!$K$3:$V$201,MATCH('Adeiladau, Fflyd ac Offer '!$C30&amp;D30,'Ffactorau Allyriadau'!$J$3:$J$201&amp;'Ffactorau Allyriadau'!$K$3:$K$201,0),MATCH('Adeiladau, Fflyd ac Offer '!$I$7,'Ffactorau Allyriadau'!$K$2:$V$2,0)))</f>
        <v/>
      </c>
      <c r="J30" s="208" t="str">
        <f>IF(OR(G30="",I30=""),"",SUM(BuildingsTable[[#This Row],[Direct]:[Indirect WTT]]))</f>
        <v/>
      </c>
      <c r="K30" s="122"/>
      <c r="L30" s="209" t="str">
        <f t="array" ref="L30">IF(OR($C30="",$E30=""),"",(INDEX('Ffactorau Allyriadau'!$K$3:$V$201,MATCH('Adeiladau, Fflyd ac Offer '!$C30&amp;$D30,'Ffactorau Allyriadau'!$J$3:$J$201&amp;'Ffactorau Allyriadau'!$K$3:$K$201,0),MATCH('Adeiladau, Fflyd ac Offer '!L$7,'Ffactorau Allyriadau'!$K$2:$V$2,0)))*$G30)</f>
        <v/>
      </c>
      <c r="M30" s="209" t="str">
        <f t="array" ref="M30">IF(OR($C30="",$E30=""),"",(INDEX('Ffactorau Allyriadau'!$K$3:$V$201,MATCH('Adeiladau, Fflyd ac Offer '!$C30&amp;$D30,'Ffactorau Allyriadau'!$J$3:$J$201&amp;'Ffactorau Allyriadau'!$K$3:$K$201,0),MATCH('Adeiladau, Fflyd ac Offer '!M$7,'Ffactorau Allyriadau'!$K$2:$V$2,0)))*$G30)</f>
        <v/>
      </c>
      <c r="N30" s="209" t="str">
        <f t="array" ref="N30">IF(OR($C30="",$E30=""),"",(INDEX('Ffactorau Allyriadau'!$K$3:$V$201,MATCH('Adeiladau, Fflyd ac Offer '!$C30&amp;$D30,'Ffactorau Allyriadau'!$J$3:$J$201&amp;'Ffactorau Allyriadau'!$K$3:$K$201,0),MATCH('Adeiladau, Fflyd ac Offer '!N$7,'Ffactorau Allyriadau'!$K$2:$V$2,0)))*$G30)</f>
        <v/>
      </c>
      <c r="O30" s="209" t="str">
        <f t="array" ref="O30">IF(OR($C30="",$E30=""),"",(INDEX('Ffactorau Allyriadau'!$K$3:$V$201,MATCH('Adeiladau, Fflyd ac Offer '!$C30&amp;$D30,'Ffactorau Allyriadau'!$J$3:$J$201&amp;'Ffactorau Allyriadau'!$K$3:$K$201,0),MATCH('Adeiladau, Fflyd ac Offer '!O$7,'Ffactorau Allyriadau'!$K$2:$V$2,0)))*$G30)</f>
        <v/>
      </c>
      <c r="P30" s="209" t="str">
        <f t="array" ref="P30">IF(OR($C30="",$E30=""),"",(INDEX('Ffactorau Allyriadau'!$K$3:$V$201,MATCH('Adeiladau, Fflyd ac Offer '!$C30&amp;$D30,'Ffactorau Allyriadau'!$J$3:$J$201&amp;'Ffactorau Allyriadau'!$K$3:$K$201,0),MATCH('Adeiladau, Fflyd ac Offer '!P$7,'Ffactorau Allyriadau'!$K$2:$V$2,0)))*$G30)</f>
        <v/>
      </c>
      <c r="Q30" s="54"/>
    </row>
    <row r="31" spans="1:17" s="1" customFormat="1" ht="15" thickBot="1" x14ac:dyDescent="0.4">
      <c r="A31" s="142"/>
      <c r="B31" s="126"/>
      <c r="C31" s="123"/>
      <c r="D31" s="123"/>
      <c r="E31" s="120"/>
      <c r="F31" s="123"/>
      <c r="G31" s="125" t="str">
        <f t="array" ref="G31">IF(OR($C31="",$B31="",$E31="",$F31=""),"",IF(F31=H31,E31,(INDEX('Ffactorau Allyriadau'!$K$3:$V$201,MATCH(C31&amp;D31,'Ffactorau Allyriadau'!$J$3:$J$201&amp;'Ffactorau Allyriadau'!$K$3:$K$201,0),MATCH(G$7,'Ffactorau Allyriadau'!$K$2:$V$2,0)))*E31))</f>
        <v/>
      </c>
      <c r="H31" s="29" t="str">
        <f>IF(OR($C31="",$B31="",$E31="",$F31=""),"",INDEX('Ffactorau Allyriadau'!$K$3:$V$201,MATCH('Adeiladau, Fflyd ac Offer '!$C31,'Ffactorau Allyriadau'!$J$3:$J$201,0),MATCH($H$7,'Ffactorau Allyriadau'!$K$2:$V$2,0)))</f>
        <v/>
      </c>
      <c r="I31" s="143" t="str">
        <f t="array" ref="I31">IF(OR(C31="",E31="",BuildingsTable[[#This Row],[Units]]=""),"",INDEX('Ffactorau Allyriadau'!$K$3:$V$201,MATCH('Adeiladau, Fflyd ac Offer '!$C31&amp;D31,'Ffactorau Allyriadau'!$J$3:$J$201&amp;'Ffactorau Allyriadau'!$K$3:$K$201,0),MATCH('Adeiladau, Fflyd ac Offer '!$I$7,'Ffactorau Allyriadau'!$K$2:$V$2,0)))</f>
        <v/>
      </c>
      <c r="J31" s="208" t="str">
        <f>IF(OR(G31="",I31=""),"",SUM(BuildingsTable[[#This Row],[Direct]:[Indirect WTT]]))</f>
        <v/>
      </c>
      <c r="K31" s="122"/>
      <c r="L31" s="209" t="str">
        <f t="array" ref="L31">IF(OR($C31="",$E31=""),"",(INDEX('Ffactorau Allyriadau'!$K$3:$V$201,MATCH('Adeiladau, Fflyd ac Offer '!$C31&amp;$D31,'Ffactorau Allyriadau'!$J$3:$J$201&amp;'Ffactorau Allyriadau'!$K$3:$K$201,0),MATCH('Adeiladau, Fflyd ac Offer '!L$7,'Ffactorau Allyriadau'!$K$2:$V$2,0)))*$G31)</f>
        <v/>
      </c>
      <c r="M31" s="209" t="str">
        <f t="array" ref="M31">IF(OR($C31="",$E31=""),"",(INDEX('Ffactorau Allyriadau'!$K$3:$V$201,MATCH('Adeiladau, Fflyd ac Offer '!$C31&amp;$D31,'Ffactorau Allyriadau'!$J$3:$J$201&amp;'Ffactorau Allyriadau'!$K$3:$K$201,0),MATCH('Adeiladau, Fflyd ac Offer '!M$7,'Ffactorau Allyriadau'!$K$2:$V$2,0)))*$G31)</f>
        <v/>
      </c>
      <c r="N31" s="209" t="str">
        <f t="array" ref="N31">IF(OR($C31="",$E31=""),"",(INDEX('Ffactorau Allyriadau'!$K$3:$V$201,MATCH('Adeiladau, Fflyd ac Offer '!$C31&amp;$D31,'Ffactorau Allyriadau'!$J$3:$J$201&amp;'Ffactorau Allyriadau'!$K$3:$K$201,0),MATCH('Adeiladau, Fflyd ac Offer '!N$7,'Ffactorau Allyriadau'!$K$2:$V$2,0)))*$G31)</f>
        <v/>
      </c>
      <c r="O31" s="209" t="str">
        <f t="array" ref="O31">IF(OR($C31="",$E31=""),"",(INDEX('Ffactorau Allyriadau'!$K$3:$V$201,MATCH('Adeiladau, Fflyd ac Offer '!$C31&amp;$D31,'Ffactorau Allyriadau'!$J$3:$J$201&amp;'Ffactorau Allyriadau'!$K$3:$K$201,0),MATCH('Adeiladau, Fflyd ac Offer '!O$7,'Ffactorau Allyriadau'!$K$2:$V$2,0)))*$G31)</f>
        <v/>
      </c>
      <c r="P31" s="209" t="str">
        <f t="array" ref="P31">IF(OR($C31="",$E31=""),"",(INDEX('Ffactorau Allyriadau'!$K$3:$V$201,MATCH('Adeiladau, Fflyd ac Offer '!$C31&amp;$D31,'Ffactorau Allyriadau'!$J$3:$J$201&amp;'Ffactorau Allyriadau'!$K$3:$K$201,0),MATCH('Adeiladau, Fflyd ac Offer '!P$7,'Ffactorau Allyriadau'!$K$2:$V$2,0)))*$G31)</f>
        <v/>
      </c>
      <c r="Q31" s="54"/>
    </row>
    <row r="32" spans="1:17" s="1" customFormat="1" ht="15" thickBot="1" x14ac:dyDescent="0.4">
      <c r="A32" s="142"/>
      <c r="B32" s="126"/>
      <c r="C32" s="123"/>
      <c r="D32" s="123"/>
      <c r="E32" s="120"/>
      <c r="F32" s="123"/>
      <c r="G32" s="125" t="str">
        <f t="array" ref="G32">IF(OR($C32="",$B32="",$E32="",$F32=""),"",IF(F32=H32,E32,(INDEX('Ffactorau Allyriadau'!$K$3:$V$201,MATCH(C32&amp;D32,'Ffactorau Allyriadau'!$J$3:$J$201&amp;'Ffactorau Allyriadau'!$K$3:$K$201,0),MATCH(G$7,'Ffactorau Allyriadau'!$K$2:$V$2,0)))*E32))</f>
        <v/>
      </c>
      <c r="H32" s="29" t="str">
        <f>IF(OR($C32="",$B32="",$E32="",$F32=""),"",INDEX('Ffactorau Allyriadau'!$K$3:$V$201,MATCH('Adeiladau, Fflyd ac Offer '!$C32,'Ffactorau Allyriadau'!$J$3:$J$201,0),MATCH($H$7,'Ffactorau Allyriadau'!$K$2:$V$2,0)))</f>
        <v/>
      </c>
      <c r="I32" s="143" t="str">
        <f t="array" ref="I32">IF(OR(C32="",E32="",BuildingsTable[[#This Row],[Units]]=""),"",INDEX('Ffactorau Allyriadau'!$K$3:$V$201,MATCH('Adeiladau, Fflyd ac Offer '!$C32&amp;D32,'Ffactorau Allyriadau'!$J$3:$J$201&amp;'Ffactorau Allyriadau'!$K$3:$K$201,0),MATCH('Adeiladau, Fflyd ac Offer '!$I$7,'Ffactorau Allyriadau'!$K$2:$V$2,0)))</f>
        <v/>
      </c>
      <c r="J32" s="208" t="str">
        <f>IF(OR(G32="",I32=""),"",SUM(BuildingsTable[[#This Row],[Direct]:[Indirect WTT]]))</f>
        <v/>
      </c>
      <c r="K32" s="122"/>
      <c r="L32" s="209" t="str">
        <f t="array" ref="L32">IF(OR($C32="",$E32=""),"",(INDEX('Ffactorau Allyriadau'!$K$3:$V$201,MATCH('Adeiladau, Fflyd ac Offer '!$C32&amp;$D32,'Ffactorau Allyriadau'!$J$3:$J$201&amp;'Ffactorau Allyriadau'!$K$3:$K$201,0),MATCH('Adeiladau, Fflyd ac Offer '!L$7,'Ffactorau Allyriadau'!$K$2:$V$2,0)))*$G32)</f>
        <v/>
      </c>
      <c r="M32" s="209" t="str">
        <f t="array" ref="M32">IF(OR($C32="",$E32=""),"",(INDEX('Ffactorau Allyriadau'!$K$3:$V$201,MATCH('Adeiladau, Fflyd ac Offer '!$C32&amp;$D32,'Ffactorau Allyriadau'!$J$3:$J$201&amp;'Ffactorau Allyriadau'!$K$3:$K$201,0),MATCH('Adeiladau, Fflyd ac Offer '!M$7,'Ffactorau Allyriadau'!$K$2:$V$2,0)))*$G32)</f>
        <v/>
      </c>
      <c r="N32" s="209" t="str">
        <f t="array" ref="N32">IF(OR($C32="",$E32=""),"",(INDEX('Ffactorau Allyriadau'!$K$3:$V$201,MATCH('Adeiladau, Fflyd ac Offer '!$C32&amp;$D32,'Ffactorau Allyriadau'!$J$3:$J$201&amp;'Ffactorau Allyriadau'!$K$3:$K$201,0),MATCH('Adeiladau, Fflyd ac Offer '!N$7,'Ffactorau Allyriadau'!$K$2:$V$2,0)))*$G32)</f>
        <v/>
      </c>
      <c r="O32" s="209" t="str">
        <f t="array" ref="O32">IF(OR($C32="",$E32=""),"",(INDEX('Ffactorau Allyriadau'!$K$3:$V$201,MATCH('Adeiladau, Fflyd ac Offer '!$C32&amp;$D32,'Ffactorau Allyriadau'!$J$3:$J$201&amp;'Ffactorau Allyriadau'!$K$3:$K$201,0),MATCH('Adeiladau, Fflyd ac Offer '!O$7,'Ffactorau Allyriadau'!$K$2:$V$2,0)))*$G32)</f>
        <v/>
      </c>
      <c r="P32" s="209" t="str">
        <f t="array" ref="P32">IF(OR($C32="",$E32=""),"",(INDEX('Ffactorau Allyriadau'!$K$3:$V$201,MATCH('Adeiladau, Fflyd ac Offer '!$C32&amp;$D32,'Ffactorau Allyriadau'!$J$3:$J$201&amp;'Ffactorau Allyriadau'!$K$3:$K$201,0),MATCH('Adeiladau, Fflyd ac Offer '!P$7,'Ffactorau Allyriadau'!$K$2:$V$2,0)))*$G32)</f>
        <v/>
      </c>
      <c r="Q32" s="54"/>
    </row>
    <row r="33" spans="1:26" s="1" customFormat="1" ht="15" thickBot="1" x14ac:dyDescent="0.4">
      <c r="A33" s="142"/>
      <c r="B33" s="126"/>
      <c r="C33" s="123"/>
      <c r="D33" s="123"/>
      <c r="E33" s="120"/>
      <c r="F33" s="123"/>
      <c r="G33" s="125" t="str">
        <f t="array" ref="G33">IF(OR($C33="",$B33="",$E33="",$F33=""),"",IF(F33=H33,E33,(INDEX('Ffactorau Allyriadau'!$K$3:$V$201,MATCH(C33&amp;D33,'Ffactorau Allyriadau'!$J$3:$J$201&amp;'Ffactorau Allyriadau'!$K$3:$K$201,0),MATCH(G$7,'Ffactorau Allyriadau'!$K$2:$V$2,0)))*E33))</f>
        <v/>
      </c>
      <c r="H33" s="29" t="str">
        <f>IF(OR($C33="",$B33="",$E33="",$F33=""),"",INDEX('Ffactorau Allyriadau'!$K$3:$V$201,MATCH('Adeiladau, Fflyd ac Offer '!$C33,'Ffactorau Allyriadau'!$J$3:$J$201,0),MATCH($H$7,'Ffactorau Allyriadau'!$K$2:$V$2,0)))</f>
        <v/>
      </c>
      <c r="I33" s="143" t="str">
        <f t="array" ref="I33">IF(OR(C33="",E33="",BuildingsTable[[#This Row],[Units]]=""),"",INDEX('Ffactorau Allyriadau'!$K$3:$V$201,MATCH('Adeiladau, Fflyd ac Offer '!$C33&amp;D33,'Ffactorau Allyriadau'!$J$3:$J$201&amp;'Ffactorau Allyriadau'!$K$3:$K$201,0),MATCH('Adeiladau, Fflyd ac Offer '!$I$7,'Ffactorau Allyriadau'!$K$2:$V$2,0)))</f>
        <v/>
      </c>
      <c r="J33" s="208" t="str">
        <f>IF(OR(G33="",I33=""),"",SUM(BuildingsTable[[#This Row],[Direct]:[Indirect WTT]]))</f>
        <v/>
      </c>
      <c r="K33" s="122"/>
      <c r="L33" s="209" t="str">
        <f t="array" ref="L33">IF(OR($C33="",$E33=""),"",(INDEX('Ffactorau Allyriadau'!$K$3:$V$201,MATCH('Adeiladau, Fflyd ac Offer '!$C33&amp;$D33,'Ffactorau Allyriadau'!$J$3:$J$201&amp;'Ffactorau Allyriadau'!$K$3:$K$201,0),MATCH('Adeiladau, Fflyd ac Offer '!L$7,'Ffactorau Allyriadau'!$K$2:$V$2,0)))*$G33)</f>
        <v/>
      </c>
      <c r="M33" s="209" t="str">
        <f t="array" ref="M33">IF(OR($C33="",$E33=""),"",(INDEX('Ffactorau Allyriadau'!$K$3:$V$201,MATCH('Adeiladau, Fflyd ac Offer '!$C33&amp;$D33,'Ffactorau Allyriadau'!$J$3:$J$201&amp;'Ffactorau Allyriadau'!$K$3:$K$201,0),MATCH('Adeiladau, Fflyd ac Offer '!M$7,'Ffactorau Allyriadau'!$K$2:$V$2,0)))*$G33)</f>
        <v/>
      </c>
      <c r="N33" s="209" t="str">
        <f t="array" ref="N33">IF(OR($C33="",$E33=""),"",(INDEX('Ffactorau Allyriadau'!$K$3:$V$201,MATCH('Adeiladau, Fflyd ac Offer '!$C33&amp;$D33,'Ffactorau Allyriadau'!$J$3:$J$201&amp;'Ffactorau Allyriadau'!$K$3:$K$201,0),MATCH('Adeiladau, Fflyd ac Offer '!N$7,'Ffactorau Allyriadau'!$K$2:$V$2,0)))*$G33)</f>
        <v/>
      </c>
      <c r="O33" s="209" t="str">
        <f t="array" ref="O33">IF(OR($C33="",$E33=""),"",(INDEX('Ffactorau Allyriadau'!$K$3:$V$201,MATCH('Adeiladau, Fflyd ac Offer '!$C33&amp;$D33,'Ffactorau Allyriadau'!$J$3:$J$201&amp;'Ffactorau Allyriadau'!$K$3:$K$201,0),MATCH('Adeiladau, Fflyd ac Offer '!O$7,'Ffactorau Allyriadau'!$K$2:$V$2,0)))*$G33)</f>
        <v/>
      </c>
      <c r="P33" s="209" t="str">
        <f t="array" ref="P33">IF(OR($C33="",$E33=""),"",(INDEX('Ffactorau Allyriadau'!$K$3:$V$201,MATCH('Adeiladau, Fflyd ac Offer '!$C33&amp;$D33,'Ffactorau Allyriadau'!$J$3:$J$201&amp;'Ffactorau Allyriadau'!$K$3:$K$201,0),MATCH('Adeiladau, Fflyd ac Offer '!P$7,'Ffactorau Allyriadau'!$K$2:$V$2,0)))*$G33)</f>
        <v/>
      </c>
      <c r="Q33" s="54"/>
    </row>
    <row r="34" spans="1:26" s="1" customFormat="1" ht="15" thickBot="1" x14ac:dyDescent="0.4">
      <c r="A34" s="142"/>
      <c r="B34" s="126"/>
      <c r="C34" s="123"/>
      <c r="D34" s="123"/>
      <c r="E34" s="120"/>
      <c r="F34" s="123"/>
      <c r="G34" s="125" t="str">
        <f t="array" ref="G34">IF(OR($C34="",$B34="",$E34="",$F34=""),"",IF(F34=H34,E34,(INDEX('Ffactorau Allyriadau'!$K$3:$V$201,MATCH(C34&amp;D34,'Ffactorau Allyriadau'!$J$3:$J$201&amp;'Ffactorau Allyriadau'!$K$3:$K$201,0),MATCH(G$7,'Ffactorau Allyriadau'!$K$2:$V$2,0)))*E34))</f>
        <v/>
      </c>
      <c r="H34" s="29" t="str">
        <f>IF(OR($C34="",$B34="",$E34="",$F34=""),"",INDEX('Ffactorau Allyriadau'!$K$3:$V$201,MATCH('Adeiladau, Fflyd ac Offer '!$C34,'Ffactorau Allyriadau'!$J$3:$J$201,0),MATCH($H$7,'Ffactorau Allyriadau'!$K$2:$V$2,0)))</f>
        <v/>
      </c>
      <c r="I34" s="143" t="str">
        <f t="array" ref="I34">IF(OR(C34="",E34="",BuildingsTable[[#This Row],[Units]]=""),"",INDEX('Ffactorau Allyriadau'!$K$3:$V$201,MATCH('Adeiladau, Fflyd ac Offer '!$C34&amp;D34,'Ffactorau Allyriadau'!$J$3:$J$201&amp;'Ffactorau Allyriadau'!$K$3:$K$201,0),MATCH('Adeiladau, Fflyd ac Offer '!$I$7,'Ffactorau Allyriadau'!$K$2:$V$2,0)))</f>
        <v/>
      </c>
      <c r="J34" s="208" t="str">
        <f>IF(OR(G34="",I34=""),"",SUM(BuildingsTable[[#This Row],[Direct]:[Indirect WTT]]))</f>
        <v/>
      </c>
      <c r="K34" s="122"/>
      <c r="L34" s="209" t="str">
        <f t="array" ref="L34">IF(OR($C34="",$E34=""),"",(INDEX('Ffactorau Allyriadau'!$K$3:$V$201,MATCH('Adeiladau, Fflyd ac Offer '!$C34&amp;$D34,'Ffactorau Allyriadau'!$J$3:$J$201&amp;'Ffactorau Allyriadau'!$K$3:$K$201,0),MATCH('Adeiladau, Fflyd ac Offer '!L$7,'Ffactorau Allyriadau'!$K$2:$V$2,0)))*$G34)</f>
        <v/>
      </c>
      <c r="M34" s="209" t="str">
        <f t="array" ref="M34">IF(OR($C34="",$E34=""),"",(INDEX('Ffactorau Allyriadau'!$K$3:$V$201,MATCH('Adeiladau, Fflyd ac Offer '!$C34&amp;$D34,'Ffactorau Allyriadau'!$J$3:$J$201&amp;'Ffactorau Allyriadau'!$K$3:$K$201,0),MATCH('Adeiladau, Fflyd ac Offer '!M$7,'Ffactorau Allyriadau'!$K$2:$V$2,0)))*$G34)</f>
        <v/>
      </c>
      <c r="N34" s="209" t="str">
        <f t="array" ref="N34">IF(OR($C34="",$E34=""),"",(INDEX('Ffactorau Allyriadau'!$K$3:$V$201,MATCH('Adeiladau, Fflyd ac Offer '!$C34&amp;$D34,'Ffactorau Allyriadau'!$J$3:$J$201&amp;'Ffactorau Allyriadau'!$K$3:$K$201,0),MATCH('Adeiladau, Fflyd ac Offer '!N$7,'Ffactorau Allyriadau'!$K$2:$V$2,0)))*$G34)</f>
        <v/>
      </c>
      <c r="O34" s="209" t="str">
        <f t="array" ref="O34">IF(OR($C34="",$E34=""),"",(INDEX('Ffactorau Allyriadau'!$K$3:$V$201,MATCH('Adeiladau, Fflyd ac Offer '!$C34&amp;$D34,'Ffactorau Allyriadau'!$J$3:$J$201&amp;'Ffactorau Allyriadau'!$K$3:$K$201,0),MATCH('Adeiladau, Fflyd ac Offer '!O$7,'Ffactorau Allyriadau'!$K$2:$V$2,0)))*$G34)</f>
        <v/>
      </c>
      <c r="P34" s="209" t="str">
        <f t="array" ref="P34">IF(OR($C34="",$E34=""),"",(INDEX('Ffactorau Allyriadau'!$K$3:$V$201,MATCH('Adeiladau, Fflyd ac Offer '!$C34&amp;$D34,'Ffactorau Allyriadau'!$J$3:$J$201&amp;'Ffactorau Allyriadau'!$K$3:$K$201,0),MATCH('Adeiladau, Fflyd ac Offer '!P$7,'Ffactorau Allyriadau'!$K$2:$V$2,0)))*$G34)</f>
        <v/>
      </c>
      <c r="Q34" s="54"/>
    </row>
    <row r="35" spans="1:26" s="1" customFormat="1" ht="13.4" customHeight="1" thickBot="1" x14ac:dyDescent="0.4">
      <c r="A35" s="142"/>
      <c r="B35" s="126"/>
      <c r="C35" s="123"/>
      <c r="D35" s="123"/>
      <c r="E35" s="120"/>
      <c r="F35" s="123"/>
      <c r="G35" s="125" t="str">
        <f t="array" ref="G35">IF(OR($C35="",$B35="",$E35="",$F35=""),"",IF(F35=H35,E35,(INDEX('Ffactorau Allyriadau'!$K$3:$V$201,MATCH(C35&amp;D35,'Ffactorau Allyriadau'!$J$3:$J$201&amp;'Ffactorau Allyriadau'!$K$3:$K$201,0),MATCH(G$7,'Ffactorau Allyriadau'!$K$2:$V$2,0)))*E35))</f>
        <v/>
      </c>
      <c r="H35" s="29" t="str">
        <f>IF(OR($C35="",$B35="",$E35="",$F35=""),"",INDEX('Ffactorau Allyriadau'!$K$3:$V$201,MATCH('Adeiladau, Fflyd ac Offer '!$C35,'Ffactorau Allyriadau'!$J$3:$J$201,0),MATCH($H$7,'Ffactorau Allyriadau'!$K$2:$V$2,0)))</f>
        <v/>
      </c>
      <c r="I35" s="143" t="str">
        <f t="array" ref="I35">IF(OR(C35="",E35="",BuildingsTable[[#This Row],[Units]]=""),"",INDEX('Ffactorau Allyriadau'!$K$3:$V$201,MATCH('Adeiladau, Fflyd ac Offer '!$C35&amp;D35,'Ffactorau Allyriadau'!$J$3:$J$201&amp;'Ffactorau Allyriadau'!$K$3:$K$201,0),MATCH('Adeiladau, Fflyd ac Offer '!$I$7,'Ffactorau Allyriadau'!$K$2:$V$2,0)))</f>
        <v/>
      </c>
      <c r="J35" s="208" t="str">
        <f>IF(OR(G35="",I35=""),"",SUM(BuildingsTable[[#This Row],[Direct]:[Indirect WTT]]))</f>
        <v/>
      </c>
      <c r="K35" s="122"/>
      <c r="L35" s="209" t="str">
        <f t="array" ref="L35">IF(OR($C35="",$E35=""),"",(INDEX('Ffactorau Allyriadau'!$K$3:$V$201,MATCH('Adeiladau, Fflyd ac Offer '!$C35&amp;$D35,'Ffactorau Allyriadau'!$J$3:$J$201&amp;'Ffactorau Allyriadau'!$K$3:$K$201,0),MATCH('Adeiladau, Fflyd ac Offer '!L$7,'Ffactorau Allyriadau'!$K$2:$V$2,0)))*$G35)</f>
        <v/>
      </c>
      <c r="M35" s="209" t="str">
        <f t="array" ref="M35">IF(OR($C35="",$E35=""),"",(INDEX('Ffactorau Allyriadau'!$K$3:$V$201,MATCH('Adeiladau, Fflyd ac Offer '!$C35&amp;$D35,'Ffactorau Allyriadau'!$J$3:$J$201&amp;'Ffactorau Allyriadau'!$K$3:$K$201,0),MATCH('Adeiladau, Fflyd ac Offer '!M$7,'Ffactorau Allyriadau'!$K$2:$V$2,0)))*$G35)</f>
        <v/>
      </c>
      <c r="N35" s="209" t="str">
        <f t="array" ref="N35">IF(OR($C35="",$E35=""),"",(INDEX('Ffactorau Allyriadau'!$K$3:$V$201,MATCH('Adeiladau, Fflyd ac Offer '!$C35&amp;$D35,'Ffactorau Allyriadau'!$J$3:$J$201&amp;'Ffactorau Allyriadau'!$K$3:$K$201,0),MATCH('Adeiladau, Fflyd ac Offer '!N$7,'Ffactorau Allyriadau'!$K$2:$V$2,0)))*$G35)</f>
        <v/>
      </c>
      <c r="O35" s="209" t="str">
        <f t="array" ref="O35">IF(OR($C35="",$E35=""),"",(INDEX('Ffactorau Allyriadau'!$K$3:$V$201,MATCH('Adeiladau, Fflyd ac Offer '!$C35&amp;$D35,'Ffactorau Allyriadau'!$J$3:$J$201&amp;'Ffactorau Allyriadau'!$K$3:$K$201,0),MATCH('Adeiladau, Fflyd ac Offer '!O$7,'Ffactorau Allyriadau'!$K$2:$V$2,0)))*$G35)</f>
        <v/>
      </c>
      <c r="P35" s="209" t="str">
        <f t="array" ref="P35">IF(OR($C35="",$E35=""),"",(INDEX('Ffactorau Allyriadau'!$K$3:$V$201,MATCH('Adeiladau, Fflyd ac Offer '!$C35&amp;$D35,'Ffactorau Allyriadau'!$J$3:$J$201&amp;'Ffactorau Allyriadau'!$K$3:$K$201,0),MATCH('Adeiladau, Fflyd ac Offer '!P$7,'Ffactorau Allyriadau'!$K$2:$V$2,0)))*$G35)</f>
        <v/>
      </c>
      <c r="Q35" s="54"/>
    </row>
    <row r="36" spans="1:26" s="1" customFormat="1" ht="15" thickBot="1" x14ac:dyDescent="0.4">
      <c r="A36" s="35"/>
      <c r="B36" s="126"/>
      <c r="C36" s="123"/>
      <c r="D36" s="123"/>
      <c r="E36" s="120"/>
      <c r="F36" s="123"/>
      <c r="G36" s="125" t="str">
        <f t="array" ref="G36">IF(OR($C36="",$B36="",$E36="",$F36=""),"",IF(F36=H36,E36,(INDEX('Ffactorau Allyriadau'!$K$3:$V$201,MATCH(C36&amp;D36,'Ffactorau Allyriadau'!$J$3:$J$201&amp;'Ffactorau Allyriadau'!$K$3:$K$201,0),MATCH(G$7,'Ffactorau Allyriadau'!$K$2:$V$2,0)))*E36))</f>
        <v/>
      </c>
      <c r="H36" s="29" t="str">
        <f>IF(OR($C36="",$B36="",$E36="",$F36=""),"",INDEX('Ffactorau Allyriadau'!$K$3:$V$201,MATCH('Adeiladau, Fflyd ac Offer '!$C36,'Ffactorau Allyriadau'!$J$3:$J$201,0),MATCH($H$7,'Ffactorau Allyriadau'!$K$2:$V$2,0)))</f>
        <v/>
      </c>
      <c r="I36" s="143" t="str">
        <f t="array" ref="I36">IF(OR(C36="",E36="",BuildingsTable[[#This Row],[Units]]=""),"",INDEX('Ffactorau Allyriadau'!$K$3:$V$201,MATCH('Adeiladau, Fflyd ac Offer '!$C36&amp;D36,'Ffactorau Allyriadau'!$J$3:$J$201&amp;'Ffactorau Allyriadau'!$K$3:$K$201,0),MATCH('Adeiladau, Fflyd ac Offer '!$I$7,'Ffactorau Allyriadau'!$K$2:$V$2,0)))</f>
        <v/>
      </c>
      <c r="J36" s="208" t="str">
        <f>IF(OR(G36="",I36=""),"",SUM(BuildingsTable[[#This Row],[Direct]:[Indirect WTT]]))</f>
        <v/>
      </c>
      <c r="K36" s="122"/>
      <c r="L36" s="209" t="str">
        <f t="array" ref="L36">IF(OR($C36="",$E36=""),"",(INDEX('Ffactorau Allyriadau'!$K$3:$V$201,MATCH('Adeiladau, Fflyd ac Offer '!$C36&amp;$D36,'Ffactorau Allyriadau'!$J$3:$J$201&amp;'Ffactorau Allyriadau'!$K$3:$K$201,0),MATCH('Adeiladau, Fflyd ac Offer '!L$7,'Ffactorau Allyriadau'!$K$2:$V$2,0)))*$G36)</f>
        <v/>
      </c>
      <c r="M36" s="209" t="str">
        <f t="array" ref="M36">IF(OR($C36="",$E36=""),"",(INDEX('Ffactorau Allyriadau'!$K$3:$V$201,MATCH('Adeiladau, Fflyd ac Offer '!$C36&amp;$D36,'Ffactorau Allyriadau'!$J$3:$J$201&amp;'Ffactorau Allyriadau'!$K$3:$K$201,0),MATCH('Adeiladau, Fflyd ac Offer '!M$7,'Ffactorau Allyriadau'!$K$2:$V$2,0)))*$G36)</f>
        <v/>
      </c>
      <c r="N36" s="209" t="str">
        <f t="array" ref="N36">IF(OR($C36="",$E36=""),"",(INDEX('Ffactorau Allyriadau'!$K$3:$V$201,MATCH('Adeiladau, Fflyd ac Offer '!$C36&amp;$D36,'Ffactorau Allyriadau'!$J$3:$J$201&amp;'Ffactorau Allyriadau'!$K$3:$K$201,0),MATCH('Adeiladau, Fflyd ac Offer '!N$7,'Ffactorau Allyriadau'!$K$2:$V$2,0)))*$G36)</f>
        <v/>
      </c>
      <c r="O36" s="209" t="str">
        <f t="array" ref="O36">IF(OR($C36="",$E36=""),"",(INDEX('Ffactorau Allyriadau'!$K$3:$V$201,MATCH('Adeiladau, Fflyd ac Offer '!$C36&amp;$D36,'Ffactorau Allyriadau'!$J$3:$J$201&amp;'Ffactorau Allyriadau'!$K$3:$K$201,0),MATCH('Adeiladau, Fflyd ac Offer '!O$7,'Ffactorau Allyriadau'!$K$2:$V$2,0)))*$G36)</f>
        <v/>
      </c>
      <c r="P36" s="209" t="str">
        <f t="array" ref="P36">IF(OR($C36="",$E36=""),"",(INDEX('Ffactorau Allyriadau'!$K$3:$V$201,MATCH('Adeiladau, Fflyd ac Offer '!$C36&amp;$D36,'Ffactorau Allyriadau'!$J$3:$J$201&amp;'Ffactorau Allyriadau'!$K$3:$K$201,0),MATCH('Adeiladau, Fflyd ac Offer '!P$7,'Ffactorau Allyriadau'!$K$2:$V$2,0)))*$G36)</f>
        <v/>
      </c>
      <c r="Q36" s="54"/>
    </row>
    <row r="37" spans="1:26" s="1" customFormat="1" ht="15" thickBot="1" x14ac:dyDescent="0.4">
      <c r="A37" s="35"/>
      <c r="B37" s="126"/>
      <c r="C37" s="123"/>
      <c r="D37" s="123"/>
      <c r="E37" s="120"/>
      <c r="F37" s="123"/>
      <c r="G37" s="125" t="str">
        <f t="array" ref="G37">IF(OR($C37="",$B37="",$E37="",$F37=""),"",IF(F37=H37,E37,(INDEX('Ffactorau Allyriadau'!$K$3:$V$201,MATCH(C37&amp;D37,'Ffactorau Allyriadau'!$J$3:$J$201&amp;'Ffactorau Allyriadau'!$K$3:$K$201,0),MATCH(G$7,'Ffactorau Allyriadau'!$K$2:$V$2,0)))*E37))</f>
        <v/>
      </c>
      <c r="H37" s="29" t="str">
        <f>IF(OR($C37="",$B37="",$E37="",$F37=""),"",INDEX('Ffactorau Allyriadau'!$K$3:$V$201,MATCH('Adeiladau, Fflyd ac Offer '!$C37,'Ffactorau Allyriadau'!$J$3:$J$201,0),MATCH($H$7,'Ffactorau Allyriadau'!$K$2:$V$2,0)))</f>
        <v/>
      </c>
      <c r="I37" s="143" t="str">
        <f t="array" ref="I37">IF(OR(C37="",E37="",BuildingsTable[[#This Row],[Units]]=""),"",INDEX('Ffactorau Allyriadau'!$K$3:$V$201,MATCH('Adeiladau, Fflyd ac Offer '!$C37&amp;D37,'Ffactorau Allyriadau'!$J$3:$J$201&amp;'Ffactorau Allyriadau'!$K$3:$K$201,0),MATCH('Adeiladau, Fflyd ac Offer '!$I$7,'Ffactorau Allyriadau'!$K$2:$V$2,0)))</f>
        <v/>
      </c>
      <c r="J37" s="208" t="str">
        <f>IF(OR(G37="",I37=""),"",SUM(BuildingsTable[[#This Row],[Direct]:[Indirect WTT]]))</f>
        <v/>
      </c>
      <c r="K37" s="124"/>
      <c r="L37" s="209" t="str">
        <f t="array" ref="L37">IF(OR($C37="",$E37=""),"",(INDEX('Ffactorau Allyriadau'!$K$3:$V$201,MATCH('Adeiladau, Fflyd ac Offer '!$C37&amp;$D37,'Ffactorau Allyriadau'!$J$3:$J$201&amp;'Ffactorau Allyriadau'!$K$3:$K$201,0),MATCH('Adeiladau, Fflyd ac Offer '!L$7,'Ffactorau Allyriadau'!$K$2:$V$2,0)))*$G37)</f>
        <v/>
      </c>
      <c r="M37" s="209" t="str">
        <f t="array" ref="M37">IF(OR($C37="",$E37=""),"",(INDEX('Ffactorau Allyriadau'!$K$3:$V$201,MATCH('Adeiladau, Fflyd ac Offer '!$C37&amp;$D37,'Ffactorau Allyriadau'!$J$3:$J$201&amp;'Ffactorau Allyriadau'!$K$3:$K$201,0),MATCH('Adeiladau, Fflyd ac Offer '!M$7,'Ffactorau Allyriadau'!$K$2:$V$2,0)))*$G37)</f>
        <v/>
      </c>
      <c r="N37" s="209" t="str">
        <f t="array" ref="N37">IF(OR($C37="",$E37=""),"",(INDEX('Ffactorau Allyriadau'!$K$3:$V$201,MATCH('Adeiladau, Fflyd ac Offer '!$C37&amp;$D37,'Ffactorau Allyriadau'!$J$3:$J$201&amp;'Ffactorau Allyriadau'!$K$3:$K$201,0),MATCH('Adeiladau, Fflyd ac Offer '!N$7,'Ffactorau Allyriadau'!$K$2:$V$2,0)))*$G37)</f>
        <v/>
      </c>
      <c r="O37" s="209" t="str">
        <f t="array" ref="O37">IF(OR($C37="",$E37=""),"",(INDEX('Ffactorau Allyriadau'!$K$3:$V$201,MATCH('Adeiladau, Fflyd ac Offer '!$C37&amp;$D37,'Ffactorau Allyriadau'!$J$3:$J$201&amp;'Ffactorau Allyriadau'!$K$3:$K$201,0),MATCH('Adeiladau, Fflyd ac Offer '!O$7,'Ffactorau Allyriadau'!$K$2:$V$2,0)))*$G37)</f>
        <v/>
      </c>
      <c r="P37" s="209" t="str">
        <f t="array" ref="P37">IF(OR($C37="",$E37=""),"",(INDEX('Ffactorau Allyriadau'!$K$3:$V$201,MATCH('Adeiladau, Fflyd ac Offer '!$C37&amp;$D37,'Ffactorau Allyriadau'!$J$3:$J$201&amp;'Ffactorau Allyriadau'!$K$3:$K$201,0),MATCH('Adeiladau, Fflyd ac Offer '!P$7,'Ffactorau Allyriadau'!$K$2:$V$2,0)))*$G37)</f>
        <v/>
      </c>
      <c r="Q37" s="54"/>
    </row>
    <row r="38" spans="1:26" s="1" customFormat="1" x14ac:dyDescent="0.35">
      <c r="A38" s="44"/>
      <c r="B38" s="46"/>
      <c r="C38" s="46"/>
      <c r="D38" s="46"/>
      <c r="E38" s="27"/>
      <c r="F38" s="27"/>
      <c r="G38" s="27"/>
      <c r="H38" s="27"/>
      <c r="I38" s="27"/>
      <c r="J38" s="27"/>
      <c r="K38" s="27"/>
      <c r="L38" s="27"/>
      <c r="M38" s="27"/>
      <c r="N38" s="27"/>
      <c r="O38" s="27"/>
      <c r="P38" s="27"/>
      <c r="Q38" s="27"/>
      <c r="R38" s="27"/>
      <c r="S38" s="27"/>
      <c r="T38" s="27"/>
      <c r="U38" s="27"/>
      <c r="V38" s="27"/>
    </row>
    <row r="39" spans="1:26" s="1" customFormat="1" x14ac:dyDescent="0.35">
      <c r="A39" s="44"/>
      <c r="B39" s="46"/>
      <c r="C39" s="46"/>
      <c r="D39" s="46"/>
      <c r="E39" s="27"/>
      <c r="F39" s="27"/>
      <c r="G39" s="27"/>
      <c r="H39" s="27"/>
      <c r="I39" s="27"/>
      <c r="J39" s="27"/>
      <c r="K39" s="27"/>
      <c r="L39" s="27"/>
      <c r="M39" s="27"/>
      <c r="N39" s="27"/>
      <c r="O39" s="27"/>
      <c r="P39" s="27"/>
      <c r="Q39" s="27"/>
      <c r="R39" s="27"/>
      <c r="S39" s="27"/>
      <c r="T39" s="27"/>
      <c r="U39" s="27"/>
      <c r="V39" s="27"/>
      <c r="W39" s="64"/>
      <c r="X39" s="64"/>
      <c r="Y39" s="64"/>
      <c r="Z39" s="64"/>
    </row>
    <row r="40" spans="1:26" s="1" customFormat="1" ht="19" thickBot="1" x14ac:dyDescent="0.5">
      <c r="A40" s="35"/>
      <c r="B40" s="144" t="s">
        <v>87</v>
      </c>
      <c r="I40" s="128" t="str">
        <f>IFERROR(IF(SUM(FleetTableFuel[Total EF (kgCO2e/unit)])&gt;0,"No errors in this table","No data entered"), "There is an error in this table, see highlighted row(s)")</f>
        <v>No data entered</v>
      </c>
      <c r="L40" s="40" t="s">
        <v>765</v>
      </c>
      <c r="T40" s="44"/>
      <c r="W40" s="64"/>
      <c r="X40" s="64"/>
      <c r="Y40" s="64"/>
      <c r="Z40" s="64"/>
    </row>
    <row r="41" spans="1:26" s="1" customFormat="1" ht="33" customHeight="1" thickBot="1" x14ac:dyDescent="0.4">
      <c r="A41" s="35"/>
      <c r="B41" s="41" t="s">
        <v>88</v>
      </c>
      <c r="C41" s="28" t="s">
        <v>89</v>
      </c>
      <c r="D41" s="28" t="s">
        <v>56</v>
      </c>
      <c r="E41" s="28" t="s">
        <v>59</v>
      </c>
      <c r="F41" s="28" t="s">
        <v>60</v>
      </c>
      <c r="G41" s="28" t="s">
        <v>61</v>
      </c>
      <c r="H41" s="28" t="s">
        <v>62</v>
      </c>
      <c r="I41" s="28" t="s">
        <v>763</v>
      </c>
      <c r="J41" s="28" t="s">
        <v>764</v>
      </c>
      <c r="K41" s="28" t="s">
        <v>64</v>
      </c>
      <c r="L41" s="8" t="s">
        <v>7</v>
      </c>
      <c r="M41" s="8" t="s">
        <v>65</v>
      </c>
      <c r="N41" s="8" t="s">
        <v>66</v>
      </c>
      <c r="O41" s="8" t="s">
        <v>67</v>
      </c>
      <c r="P41" s="8" t="s">
        <v>68</v>
      </c>
    </row>
    <row r="42" spans="1:26" s="1" customFormat="1" ht="15" thickBot="1" x14ac:dyDescent="0.4">
      <c r="A42" s="35"/>
      <c r="B42" s="126"/>
      <c r="C42" s="123"/>
      <c r="D42" s="123"/>
      <c r="E42" s="120"/>
      <c r="F42" s="123"/>
      <c r="G42" s="125" t="str">
        <f t="array" ref="G42">IF(OR($C42="",$B42="",$E42="",$F42=""),"",IF(F42=H42,E42,(INDEX('Ffactorau Allyriadau'!$K$3:$V$201,MATCH(C42&amp;D42,'Ffactorau Allyriadau'!$J$3:$J$201&amp;'Ffactorau Allyriadau'!$K$3:$K$201,0),MATCH(G$41,'Ffactorau Allyriadau'!$K$2:$V$2,0)))*E42))</f>
        <v/>
      </c>
      <c r="H42" s="29" t="str">
        <f>IF(OR($C42="",$B42="",$E42="",$F42=""),"",INDEX('Ffactorau Allyriadau'!$K$3:$V$201,MATCH('Adeiladau, Fflyd ac Offer '!$C42,'Ffactorau Allyriadau'!$J$3:$J$201,0),MATCH($H$41,'Ffactorau Allyriadau'!$K$2:$V$2,0)))</f>
        <v/>
      </c>
      <c r="I42" s="143" t="str">
        <f t="array" ref="I42">IF(OR(C42="",E42="",FleetTableFuel[[#This Row],[Units]]=""),"",INDEX('Ffactorau Allyriadau'!$K$3:$V$201,MATCH('Adeiladau, Fflyd ac Offer '!$C42&amp;D42,'Ffactorau Allyriadau'!$J$3:$J$201&amp;'Ffactorau Allyriadau'!$K$3:$K$201,0),MATCH('Adeiladau, Fflyd ac Offer '!$I$41,'Ffactorau Allyriadau'!$K$2:$V$2,0)))</f>
        <v/>
      </c>
      <c r="J42" s="208" t="str">
        <f>IF(OR(G42="",I42=""),"",SUM(FleetTableFuel[[#This Row],[Direct]:[Indirect WTT]]))</f>
        <v/>
      </c>
      <c r="K42" s="122"/>
      <c r="L42" s="209" t="str">
        <f t="array" ref="L42">IF(OR($C42="",$E42=""),"",(INDEX('Ffactorau Allyriadau'!$K$3:$V$201,MATCH('Adeiladau, Fflyd ac Offer '!$C42&amp;$D42,'Ffactorau Allyriadau'!$J$3:$J$201&amp;'Ffactorau Allyriadau'!$K$3:$K$201,0),MATCH('Adeiladau, Fflyd ac Offer '!L$7,'Ffactorau Allyriadau'!$K$2:$V$2,0)))*$G42)</f>
        <v/>
      </c>
      <c r="M42" s="209" t="str">
        <f t="array" ref="M42">IF(OR($C42="",$E42=""),"",(INDEX('Ffactorau Allyriadau'!$K$3:$V$201,MATCH('Adeiladau, Fflyd ac Offer '!$C42&amp;$D42,'Ffactorau Allyriadau'!$J$3:$J$201&amp;'Ffactorau Allyriadau'!$K$3:$K$201,0),MATCH('Adeiladau, Fflyd ac Offer '!M$7,'Ffactorau Allyriadau'!$K$2:$V$2,0)))*$G42)</f>
        <v/>
      </c>
      <c r="N42" s="209" t="str">
        <f t="array" ref="N42">IF(OR($C42="",$E42=""),"",(INDEX('Ffactorau Allyriadau'!$K$3:$V$201,MATCH('Adeiladau, Fflyd ac Offer '!$C42&amp;$D42,'Ffactorau Allyriadau'!$J$3:$J$201&amp;'Ffactorau Allyriadau'!$K$3:$K$201,0),MATCH('Adeiladau, Fflyd ac Offer '!N$7,'Ffactorau Allyriadau'!$K$2:$V$2,0)))*$G42)</f>
        <v/>
      </c>
      <c r="O42" s="209" t="str">
        <f t="array" ref="O42">IF(OR($C42="",$E42=""),"",(INDEX('Ffactorau Allyriadau'!$K$3:$V$201,MATCH('Adeiladau, Fflyd ac Offer '!$C42&amp;$D42,'Ffactorau Allyriadau'!$J$3:$J$201&amp;'Ffactorau Allyriadau'!$K$3:$K$201,0),MATCH('Adeiladau, Fflyd ac Offer '!O$7,'Ffactorau Allyriadau'!$K$2:$V$2,0)))*$G42)</f>
        <v/>
      </c>
      <c r="P42" s="209" t="str">
        <f t="array" ref="P42">IF(OR($C42="",$E42=""),"",(INDEX('Ffactorau Allyriadau'!$K$3:$V$201,MATCH('Adeiladau, Fflyd ac Offer '!$C42&amp;$D42,'Ffactorau Allyriadau'!$J$3:$J$201&amp;'Ffactorau Allyriadau'!$K$3:$K$201,0),MATCH('Adeiladau, Fflyd ac Offer '!P$7,'Ffactorau Allyriadau'!$K$2:$V$2,0)))*$G42)</f>
        <v/>
      </c>
    </row>
    <row r="43" spans="1:26" s="1" customFormat="1" ht="15" thickBot="1" x14ac:dyDescent="0.4">
      <c r="A43" s="35"/>
      <c r="B43" s="126"/>
      <c r="C43" s="123"/>
      <c r="D43" s="123"/>
      <c r="E43" s="120"/>
      <c r="F43" s="123"/>
      <c r="G43" s="125" t="str">
        <f t="array" ref="G43">IF(OR($C43="",$B43="",$E43="",$F43=""),"",IF(F43=H43,E43,(INDEX('Ffactorau Allyriadau'!$K$3:$V$201,MATCH(C43&amp;D43,'Ffactorau Allyriadau'!$J$3:$J$201&amp;'Ffactorau Allyriadau'!$K$3:$K$201,0),MATCH(G$41,'Ffactorau Allyriadau'!$K$2:$V$2,0)))*E43))</f>
        <v/>
      </c>
      <c r="H43" s="29" t="str">
        <f>IF(OR($C43="",$B43="",$E43="",$F43=""),"",INDEX('Ffactorau Allyriadau'!$K$3:$V$201,MATCH('Adeiladau, Fflyd ac Offer '!$C43,'Ffactorau Allyriadau'!$J$3:$J$201,0),MATCH($H$41,'Ffactorau Allyriadau'!$K$2:$V$2,0)))</f>
        <v/>
      </c>
      <c r="I43" s="143" t="str">
        <f t="array" ref="I43">IF(OR(C43="",E43="",FleetTableFuel[[#This Row],[Units]]=""),"",INDEX('Ffactorau Allyriadau'!$K$3:$V$201,MATCH('Adeiladau, Fflyd ac Offer '!$C43&amp;D43,'Ffactorau Allyriadau'!$J$3:$J$201&amp;'Ffactorau Allyriadau'!$K$3:$K$201,0),MATCH('Adeiladau, Fflyd ac Offer '!$I$41,'Ffactorau Allyriadau'!$K$2:$V$2,0)))</f>
        <v/>
      </c>
      <c r="J43" s="208" t="str">
        <f>IF(OR(G43="",I43=""),"",SUM(FleetTableFuel[[#This Row],[Direct]:[Indirect WTT]]))</f>
        <v/>
      </c>
      <c r="K43" s="122"/>
      <c r="L43" s="209" t="str">
        <f t="array" ref="L43">IF(OR($C43="",$E43=""),"",(INDEX('Ffactorau Allyriadau'!$K$3:$V$201,MATCH('Adeiladau, Fflyd ac Offer '!$C43&amp;$D43,'Ffactorau Allyriadau'!$J$3:$J$201&amp;'Ffactorau Allyriadau'!$K$3:$K$201,0),MATCH('Adeiladau, Fflyd ac Offer '!L$7,'Ffactorau Allyriadau'!$K$2:$V$2,0)))*$G43)</f>
        <v/>
      </c>
      <c r="M43" s="209" t="str">
        <f t="array" ref="M43">IF(OR($C43="",$E43=""),"",(INDEX('Ffactorau Allyriadau'!$K$3:$V$201,MATCH('Adeiladau, Fflyd ac Offer '!$C43&amp;$D43,'Ffactorau Allyriadau'!$J$3:$J$201&amp;'Ffactorau Allyriadau'!$K$3:$K$201,0),MATCH('Adeiladau, Fflyd ac Offer '!M$7,'Ffactorau Allyriadau'!$K$2:$V$2,0)))*$G43)</f>
        <v/>
      </c>
      <c r="N43" s="209" t="str">
        <f t="array" ref="N43">IF(OR($C43="",$E43=""),"",(INDEX('Ffactorau Allyriadau'!$K$3:$V$201,MATCH('Adeiladau, Fflyd ac Offer '!$C43&amp;$D43,'Ffactorau Allyriadau'!$J$3:$J$201&amp;'Ffactorau Allyriadau'!$K$3:$K$201,0),MATCH('Adeiladau, Fflyd ac Offer '!N$7,'Ffactorau Allyriadau'!$K$2:$V$2,0)))*$G43)</f>
        <v/>
      </c>
      <c r="O43" s="209" t="str">
        <f t="array" ref="O43">IF(OR($C43="",$E43=""),"",(INDEX('Ffactorau Allyriadau'!$K$3:$V$201,MATCH('Adeiladau, Fflyd ac Offer '!$C43&amp;$D43,'Ffactorau Allyriadau'!$J$3:$J$201&amp;'Ffactorau Allyriadau'!$K$3:$K$201,0),MATCH('Adeiladau, Fflyd ac Offer '!O$7,'Ffactorau Allyriadau'!$K$2:$V$2,0)))*$G43)</f>
        <v/>
      </c>
      <c r="P43" s="209" t="str">
        <f t="array" ref="P43">IF(OR($C43="",$E43=""),"",(INDEX('Ffactorau Allyriadau'!$K$3:$V$201,MATCH('Adeiladau, Fflyd ac Offer '!$C43&amp;$D43,'Ffactorau Allyriadau'!$J$3:$J$201&amp;'Ffactorau Allyriadau'!$K$3:$K$201,0),MATCH('Adeiladau, Fflyd ac Offer '!P$7,'Ffactorau Allyriadau'!$K$2:$V$2,0)))*$G43)</f>
        <v/>
      </c>
    </row>
    <row r="44" spans="1:26" s="1" customFormat="1" ht="15" thickBot="1" x14ac:dyDescent="0.4">
      <c r="A44" s="35"/>
      <c r="B44" s="126"/>
      <c r="C44" s="123"/>
      <c r="D44" s="123"/>
      <c r="E44" s="120"/>
      <c r="F44" s="123"/>
      <c r="G44" s="125" t="str">
        <f t="array" ref="G44">IF(OR($C44="",$B44="",$E44="",$F44=""),"",IF(F44=H44,E44,(INDEX('Ffactorau Allyriadau'!$K$3:$V$201,MATCH(C44&amp;D44,'Ffactorau Allyriadau'!$J$3:$J$201&amp;'Ffactorau Allyriadau'!$K$3:$K$201,0),MATCH(G$41,'Ffactorau Allyriadau'!$K$2:$V$2,0)))*E44))</f>
        <v/>
      </c>
      <c r="H44" s="29" t="str">
        <f>IF(OR($C44="",$B44="",$E44="",$F44=""),"",INDEX('Ffactorau Allyriadau'!$K$3:$V$201,MATCH('Adeiladau, Fflyd ac Offer '!$C44,'Ffactorau Allyriadau'!$J$3:$J$201,0),MATCH($H$41,'Ffactorau Allyriadau'!$K$2:$V$2,0)))</f>
        <v/>
      </c>
      <c r="I44" s="143" t="str">
        <f t="array" ref="I44">IF(OR(C44="",E44="",FleetTableFuel[[#This Row],[Units]]=""),"",INDEX('Ffactorau Allyriadau'!$K$3:$V$201,MATCH('Adeiladau, Fflyd ac Offer '!$C44&amp;D44,'Ffactorau Allyriadau'!$J$3:$J$201&amp;'Ffactorau Allyriadau'!$K$3:$K$201,0),MATCH('Adeiladau, Fflyd ac Offer '!$I$41,'Ffactorau Allyriadau'!$K$2:$V$2,0)))</f>
        <v/>
      </c>
      <c r="J44" s="208" t="str">
        <f>IF(OR(G44="",I44=""),"",SUM(FleetTableFuel[[#This Row],[Direct]:[Indirect WTT]]))</f>
        <v/>
      </c>
      <c r="K44" s="122"/>
      <c r="L44" s="209" t="str">
        <f t="array" ref="L44">IF(OR($C44="",$E44=""),"",(INDEX('Ffactorau Allyriadau'!$K$3:$V$201,MATCH('Adeiladau, Fflyd ac Offer '!$C44&amp;$D44,'Ffactorau Allyriadau'!$J$3:$J$201&amp;'Ffactorau Allyriadau'!$K$3:$K$201,0),MATCH('Adeiladau, Fflyd ac Offer '!L$7,'Ffactorau Allyriadau'!$K$2:$V$2,0)))*$G44)</f>
        <v/>
      </c>
      <c r="M44" s="209" t="str">
        <f t="array" ref="M44">IF(OR($C44="",$E44=""),"",(INDEX('Ffactorau Allyriadau'!$K$3:$V$201,MATCH('Adeiladau, Fflyd ac Offer '!$C44&amp;$D44,'Ffactorau Allyriadau'!$J$3:$J$201&amp;'Ffactorau Allyriadau'!$K$3:$K$201,0),MATCH('Adeiladau, Fflyd ac Offer '!M$7,'Ffactorau Allyriadau'!$K$2:$V$2,0)))*$G44)</f>
        <v/>
      </c>
      <c r="N44" s="209" t="str">
        <f t="array" ref="N44">IF(OR($C44="",$E44=""),"",(INDEX('Ffactorau Allyriadau'!$K$3:$V$201,MATCH('Adeiladau, Fflyd ac Offer '!$C44&amp;$D44,'Ffactorau Allyriadau'!$J$3:$J$201&amp;'Ffactorau Allyriadau'!$K$3:$K$201,0),MATCH('Adeiladau, Fflyd ac Offer '!N$7,'Ffactorau Allyriadau'!$K$2:$V$2,0)))*$G44)</f>
        <v/>
      </c>
      <c r="O44" s="209" t="str">
        <f t="array" ref="O44">IF(OR($C44="",$E44=""),"",(INDEX('Ffactorau Allyriadau'!$K$3:$V$201,MATCH('Adeiladau, Fflyd ac Offer '!$C44&amp;$D44,'Ffactorau Allyriadau'!$J$3:$J$201&amp;'Ffactorau Allyriadau'!$K$3:$K$201,0),MATCH('Adeiladau, Fflyd ac Offer '!O$7,'Ffactorau Allyriadau'!$K$2:$V$2,0)))*$G44)</f>
        <v/>
      </c>
      <c r="P44" s="209" t="str">
        <f t="array" ref="P44">IF(OR($C44="",$E44=""),"",(INDEX('Ffactorau Allyriadau'!$K$3:$V$201,MATCH('Adeiladau, Fflyd ac Offer '!$C44&amp;$D44,'Ffactorau Allyriadau'!$J$3:$J$201&amp;'Ffactorau Allyriadau'!$K$3:$K$201,0),MATCH('Adeiladau, Fflyd ac Offer '!P$7,'Ffactorau Allyriadau'!$K$2:$V$2,0)))*$G44)</f>
        <v/>
      </c>
    </row>
    <row r="45" spans="1:26" s="1" customFormat="1" ht="15" thickBot="1" x14ac:dyDescent="0.4">
      <c r="A45" s="35"/>
      <c r="B45" s="126"/>
      <c r="C45" s="123"/>
      <c r="D45" s="123"/>
      <c r="E45" s="120"/>
      <c r="F45" s="123"/>
      <c r="G45" s="125" t="str">
        <f t="array" ref="G45">IF(OR($C45="",$B45="",$E45="",$F45=""),"",IF(F45=H45,E45,(INDEX('Ffactorau Allyriadau'!$K$3:$V$201,MATCH(C45&amp;D45,'Ffactorau Allyriadau'!$J$3:$J$201&amp;'Ffactorau Allyriadau'!$K$3:$K$201,0),MATCH(G$41,'Ffactorau Allyriadau'!$K$2:$V$2,0)))*E45))</f>
        <v/>
      </c>
      <c r="H45" s="29" t="str">
        <f>IF(OR($C45="",$B45="",$E45="",$F45=""),"",INDEX('Ffactorau Allyriadau'!$K$3:$V$201,MATCH('Adeiladau, Fflyd ac Offer '!$C45,'Ffactorau Allyriadau'!$J$3:$J$201,0),MATCH($H$41,'Ffactorau Allyriadau'!$K$2:$V$2,0)))</f>
        <v/>
      </c>
      <c r="I45" s="143" t="str">
        <f t="array" ref="I45">IF(OR(C45="",E45="",FleetTableFuel[[#This Row],[Units]]=""),"",INDEX('Ffactorau Allyriadau'!$K$3:$V$201,MATCH('Adeiladau, Fflyd ac Offer '!$C45&amp;D45,'Ffactorau Allyriadau'!$J$3:$J$201&amp;'Ffactorau Allyriadau'!$K$3:$K$201,0),MATCH('Adeiladau, Fflyd ac Offer '!$I$41,'Ffactorau Allyriadau'!$K$2:$V$2,0)))</f>
        <v/>
      </c>
      <c r="J45" s="208" t="str">
        <f>IF(OR(G45="",I45=""),"",SUM(FleetTableFuel[[#This Row],[Direct]:[Indirect WTT]]))</f>
        <v/>
      </c>
      <c r="K45" s="122"/>
      <c r="L45" s="209" t="str">
        <f t="array" ref="L45">IF(OR($C45="",$E45=""),"",(INDEX('Ffactorau Allyriadau'!$K$3:$V$201,MATCH('Adeiladau, Fflyd ac Offer '!$C45&amp;$D45,'Ffactorau Allyriadau'!$J$3:$J$201&amp;'Ffactorau Allyriadau'!$K$3:$K$201,0),MATCH('Adeiladau, Fflyd ac Offer '!L$7,'Ffactorau Allyriadau'!$K$2:$V$2,0)))*$G45)</f>
        <v/>
      </c>
      <c r="M45" s="209" t="str">
        <f t="array" ref="M45">IF(OR($C45="",$E45=""),"",(INDEX('Ffactorau Allyriadau'!$K$3:$V$201,MATCH('Adeiladau, Fflyd ac Offer '!$C45&amp;$D45,'Ffactorau Allyriadau'!$J$3:$J$201&amp;'Ffactorau Allyriadau'!$K$3:$K$201,0),MATCH('Adeiladau, Fflyd ac Offer '!M$7,'Ffactorau Allyriadau'!$K$2:$V$2,0)))*$G45)</f>
        <v/>
      </c>
      <c r="N45" s="209" t="str">
        <f t="array" ref="N45">IF(OR($C45="",$E45=""),"",(INDEX('Ffactorau Allyriadau'!$K$3:$V$201,MATCH('Adeiladau, Fflyd ac Offer '!$C45&amp;$D45,'Ffactorau Allyriadau'!$J$3:$J$201&amp;'Ffactorau Allyriadau'!$K$3:$K$201,0),MATCH('Adeiladau, Fflyd ac Offer '!N$7,'Ffactorau Allyriadau'!$K$2:$V$2,0)))*$G45)</f>
        <v/>
      </c>
      <c r="O45" s="209" t="str">
        <f t="array" ref="O45">IF(OR($C45="",$E45=""),"",(INDEX('Ffactorau Allyriadau'!$K$3:$V$201,MATCH('Adeiladau, Fflyd ac Offer '!$C45&amp;$D45,'Ffactorau Allyriadau'!$J$3:$J$201&amp;'Ffactorau Allyriadau'!$K$3:$K$201,0),MATCH('Adeiladau, Fflyd ac Offer '!O$7,'Ffactorau Allyriadau'!$K$2:$V$2,0)))*$G45)</f>
        <v/>
      </c>
      <c r="P45" s="209" t="str">
        <f t="array" ref="P45">IF(OR($C45="",$E45=""),"",(INDEX('Ffactorau Allyriadau'!$K$3:$V$201,MATCH('Adeiladau, Fflyd ac Offer '!$C45&amp;$D45,'Ffactorau Allyriadau'!$J$3:$J$201&amp;'Ffactorau Allyriadau'!$K$3:$K$201,0),MATCH('Adeiladau, Fflyd ac Offer '!P$7,'Ffactorau Allyriadau'!$K$2:$V$2,0)))*$G45)</f>
        <v/>
      </c>
    </row>
    <row r="46" spans="1:26" s="1" customFormat="1" ht="15" thickBot="1" x14ac:dyDescent="0.4">
      <c r="A46" s="35"/>
      <c r="B46" s="126"/>
      <c r="C46" s="123"/>
      <c r="D46" s="123"/>
      <c r="E46" s="120"/>
      <c r="F46" s="123"/>
      <c r="G46" s="125" t="str">
        <f t="array" ref="G46">IF(OR($C46="",$B46="",$E46="",$F46=""),"",IF(F46=H46,E46,(INDEX('Ffactorau Allyriadau'!$K$3:$V$201,MATCH(C46&amp;D46,'Ffactorau Allyriadau'!$J$3:$J$201&amp;'Ffactorau Allyriadau'!$K$3:$K$201,0),MATCH(G$41,'Ffactorau Allyriadau'!$K$2:$V$2,0)))*E46))</f>
        <v/>
      </c>
      <c r="H46" s="29" t="str">
        <f>IF(OR($C46="",$B46="",$E46="",$F46=""),"",INDEX('Ffactorau Allyriadau'!$K$3:$V$201,MATCH('Adeiladau, Fflyd ac Offer '!$C46,'Ffactorau Allyriadau'!$J$3:$J$201,0),MATCH($H$41,'Ffactorau Allyriadau'!$K$2:$V$2,0)))</f>
        <v/>
      </c>
      <c r="I46" s="143" t="str">
        <f t="array" ref="I46">IF(OR(C46="",E46="",FleetTableFuel[[#This Row],[Units]]=""),"",INDEX('Ffactorau Allyriadau'!$K$3:$V$201,MATCH('Adeiladau, Fflyd ac Offer '!$C46&amp;D46,'Ffactorau Allyriadau'!$J$3:$J$201&amp;'Ffactorau Allyriadau'!$K$3:$K$201,0),MATCH('Adeiladau, Fflyd ac Offer '!$I$41,'Ffactorau Allyriadau'!$K$2:$V$2,0)))</f>
        <v/>
      </c>
      <c r="J46" s="208" t="str">
        <f>IF(OR(G46="",I46=""),"",SUM(FleetTableFuel[[#This Row],[Direct]:[Indirect WTT]]))</f>
        <v/>
      </c>
      <c r="K46" s="122"/>
      <c r="L46" s="209" t="str">
        <f t="array" ref="L46">IF(OR($C46="",$E46=""),"",(INDEX('Ffactorau Allyriadau'!$K$3:$V$201,MATCH('Adeiladau, Fflyd ac Offer '!$C46&amp;$D46,'Ffactorau Allyriadau'!$J$3:$J$201&amp;'Ffactorau Allyriadau'!$K$3:$K$201,0),MATCH('Adeiladau, Fflyd ac Offer '!L$7,'Ffactorau Allyriadau'!$K$2:$V$2,0)))*$G46)</f>
        <v/>
      </c>
      <c r="M46" s="209" t="str">
        <f t="array" ref="M46">IF(OR($C46="",$E46=""),"",(INDEX('Ffactorau Allyriadau'!$K$3:$V$201,MATCH('Adeiladau, Fflyd ac Offer '!$C46&amp;$D46,'Ffactorau Allyriadau'!$J$3:$J$201&amp;'Ffactorau Allyriadau'!$K$3:$K$201,0),MATCH('Adeiladau, Fflyd ac Offer '!M$7,'Ffactorau Allyriadau'!$K$2:$V$2,0)))*$G46)</f>
        <v/>
      </c>
      <c r="N46" s="209" t="str">
        <f t="array" ref="N46">IF(OR($C46="",$E46=""),"",(INDEX('Ffactorau Allyriadau'!$K$3:$V$201,MATCH('Adeiladau, Fflyd ac Offer '!$C46&amp;$D46,'Ffactorau Allyriadau'!$J$3:$J$201&amp;'Ffactorau Allyriadau'!$K$3:$K$201,0),MATCH('Adeiladau, Fflyd ac Offer '!N$7,'Ffactorau Allyriadau'!$K$2:$V$2,0)))*$G46)</f>
        <v/>
      </c>
      <c r="O46" s="209" t="str">
        <f t="array" ref="O46">IF(OR($C46="",$E46=""),"",(INDEX('Ffactorau Allyriadau'!$K$3:$V$201,MATCH('Adeiladau, Fflyd ac Offer '!$C46&amp;$D46,'Ffactorau Allyriadau'!$J$3:$J$201&amp;'Ffactorau Allyriadau'!$K$3:$K$201,0),MATCH('Adeiladau, Fflyd ac Offer '!O$7,'Ffactorau Allyriadau'!$K$2:$V$2,0)))*$G46)</f>
        <v/>
      </c>
      <c r="P46" s="209" t="str">
        <f t="array" ref="P46">IF(OR($C46="",$E46=""),"",(INDEX('Ffactorau Allyriadau'!$K$3:$V$201,MATCH('Adeiladau, Fflyd ac Offer '!$C46&amp;$D46,'Ffactorau Allyriadau'!$J$3:$J$201&amp;'Ffactorau Allyriadau'!$K$3:$K$201,0),MATCH('Adeiladau, Fflyd ac Offer '!P$7,'Ffactorau Allyriadau'!$K$2:$V$2,0)))*$G46)</f>
        <v/>
      </c>
    </row>
    <row r="47" spans="1:26" s="1" customFormat="1" ht="15" thickBot="1" x14ac:dyDescent="0.4">
      <c r="A47" s="35"/>
      <c r="B47" s="126"/>
      <c r="C47" s="123"/>
      <c r="D47" s="123"/>
      <c r="E47" s="120"/>
      <c r="F47" s="123"/>
      <c r="G47" s="125" t="str">
        <f t="array" ref="G47">IF(OR($C47="",$B47="",$E47="",$F47=""),"",IF(F47=H47,E47,(INDEX('Ffactorau Allyriadau'!$K$3:$V$201,MATCH(C47&amp;D47,'Ffactorau Allyriadau'!$J$3:$J$201&amp;'Ffactorau Allyriadau'!$K$3:$K$201,0),MATCH(G$41,'Ffactorau Allyriadau'!$K$2:$V$2,0)))*E47))</f>
        <v/>
      </c>
      <c r="H47" s="29" t="str">
        <f>IF(OR($C47="",$B47="",$E47="",$F47=""),"",INDEX('Ffactorau Allyriadau'!$K$3:$V$201,MATCH('Adeiladau, Fflyd ac Offer '!$C47,'Ffactorau Allyriadau'!$J$3:$J$201,0),MATCH($H$41,'Ffactorau Allyriadau'!$K$2:$V$2,0)))</f>
        <v/>
      </c>
      <c r="I47" s="143" t="str">
        <f t="array" ref="I47">IF(OR(C47="",E47="",FleetTableFuel[[#This Row],[Units]]=""),"",INDEX('Ffactorau Allyriadau'!$K$3:$V$201,MATCH('Adeiladau, Fflyd ac Offer '!$C47&amp;D47,'Ffactorau Allyriadau'!$J$3:$J$201&amp;'Ffactorau Allyriadau'!$K$3:$K$201,0),MATCH('Adeiladau, Fflyd ac Offer '!$I$41,'Ffactorau Allyriadau'!$K$2:$V$2,0)))</f>
        <v/>
      </c>
      <c r="J47" s="208" t="str">
        <f>IF(OR(G47="",I47=""),"",SUM(FleetTableFuel[[#This Row],[Direct]:[Indirect WTT]]))</f>
        <v/>
      </c>
      <c r="K47" s="122"/>
      <c r="L47" s="209" t="str">
        <f t="array" ref="L47">IF(OR($C47="",$E47=""),"",(INDEX('Ffactorau Allyriadau'!$K$3:$V$201,MATCH('Adeiladau, Fflyd ac Offer '!$C47&amp;$D47,'Ffactorau Allyriadau'!$J$3:$J$201&amp;'Ffactorau Allyriadau'!$K$3:$K$201,0),MATCH('Adeiladau, Fflyd ac Offer '!L$7,'Ffactorau Allyriadau'!$K$2:$V$2,0)))*$G47)</f>
        <v/>
      </c>
      <c r="M47" s="209" t="str">
        <f t="array" ref="M47">IF(OR($C47="",$E47=""),"",(INDEX('Ffactorau Allyriadau'!$K$3:$V$201,MATCH('Adeiladau, Fflyd ac Offer '!$C47&amp;$D47,'Ffactorau Allyriadau'!$J$3:$J$201&amp;'Ffactorau Allyriadau'!$K$3:$K$201,0),MATCH('Adeiladau, Fflyd ac Offer '!M$7,'Ffactorau Allyriadau'!$K$2:$V$2,0)))*$G47)</f>
        <v/>
      </c>
      <c r="N47" s="209" t="str">
        <f t="array" ref="N47">IF(OR($C47="",$E47=""),"",(INDEX('Ffactorau Allyriadau'!$K$3:$V$201,MATCH('Adeiladau, Fflyd ac Offer '!$C47&amp;$D47,'Ffactorau Allyriadau'!$J$3:$J$201&amp;'Ffactorau Allyriadau'!$K$3:$K$201,0),MATCH('Adeiladau, Fflyd ac Offer '!N$7,'Ffactorau Allyriadau'!$K$2:$V$2,0)))*$G47)</f>
        <v/>
      </c>
      <c r="O47" s="209" t="str">
        <f t="array" ref="O47">IF(OR($C47="",$E47=""),"",(INDEX('Ffactorau Allyriadau'!$K$3:$V$201,MATCH('Adeiladau, Fflyd ac Offer '!$C47&amp;$D47,'Ffactorau Allyriadau'!$J$3:$J$201&amp;'Ffactorau Allyriadau'!$K$3:$K$201,0),MATCH('Adeiladau, Fflyd ac Offer '!O$7,'Ffactorau Allyriadau'!$K$2:$V$2,0)))*$G47)</f>
        <v/>
      </c>
      <c r="P47" s="209" t="str">
        <f t="array" ref="P47">IF(OR($C47="",$E47=""),"",(INDEX('Ffactorau Allyriadau'!$K$3:$V$201,MATCH('Adeiladau, Fflyd ac Offer '!$C47&amp;$D47,'Ffactorau Allyriadau'!$J$3:$J$201&amp;'Ffactorau Allyriadau'!$K$3:$K$201,0),MATCH('Adeiladau, Fflyd ac Offer '!P$7,'Ffactorau Allyriadau'!$K$2:$V$2,0)))*$G47)</f>
        <v/>
      </c>
    </row>
    <row r="48" spans="1:26" s="1" customFormat="1" ht="15" thickBot="1" x14ac:dyDescent="0.4">
      <c r="A48" s="35"/>
      <c r="B48" s="126"/>
      <c r="C48" s="123"/>
      <c r="D48" s="123"/>
      <c r="E48" s="120"/>
      <c r="F48" s="123"/>
      <c r="G48" s="125" t="str">
        <f t="array" ref="G48">IF(OR($C48="",$B48="",$E48="",$F48=""),"",IF(F48=H48,E48,(INDEX('Ffactorau Allyriadau'!$K$3:$V$201,MATCH(C48&amp;D48,'Ffactorau Allyriadau'!$J$3:$J$201&amp;'Ffactorau Allyriadau'!$K$3:$K$201,0),MATCH(G$41,'Ffactorau Allyriadau'!$K$2:$V$2,0)))*E48))</f>
        <v/>
      </c>
      <c r="H48" s="29"/>
      <c r="I48" s="143" t="str">
        <f t="array" ref="I48">IF(OR(C48="",E48="",FleetTableFuel[[#This Row],[Units]]=""),"",INDEX('Ffactorau Allyriadau'!$K$3:$V$201,MATCH('Adeiladau, Fflyd ac Offer '!$C48&amp;D48,'Ffactorau Allyriadau'!$J$3:$J$201&amp;'Ffactorau Allyriadau'!$K$3:$K$201,0),MATCH('Adeiladau, Fflyd ac Offer '!$I$41,'Ffactorau Allyriadau'!$K$2:$V$2,0)))</f>
        <v/>
      </c>
      <c r="J48" s="208" t="str">
        <f>IF(OR(G48="",I48=""),"",SUM(FleetTableFuel[[#This Row],[Direct]:[Indirect WTT]]))</f>
        <v/>
      </c>
      <c r="K48" s="122"/>
      <c r="L48" s="209" t="str">
        <f t="array" ref="L48">IF(OR($C48="",$E48=""),"",(INDEX('Ffactorau Allyriadau'!$K$3:$V$201,MATCH('Adeiladau, Fflyd ac Offer '!$C48&amp;$D48,'Ffactorau Allyriadau'!$J$3:$J$201&amp;'Ffactorau Allyriadau'!$K$3:$K$201,0),MATCH('Adeiladau, Fflyd ac Offer '!L$7,'Ffactorau Allyriadau'!$K$2:$V$2,0)))*$G48)</f>
        <v/>
      </c>
      <c r="M48" s="209" t="str">
        <f t="array" ref="M48">IF(OR($C48="",$E48=""),"",(INDEX('Ffactorau Allyriadau'!$K$3:$V$201,MATCH('Adeiladau, Fflyd ac Offer '!$C48&amp;$D48,'Ffactorau Allyriadau'!$J$3:$J$201&amp;'Ffactorau Allyriadau'!$K$3:$K$201,0),MATCH('Adeiladau, Fflyd ac Offer '!M$7,'Ffactorau Allyriadau'!$K$2:$V$2,0)))*$G48)</f>
        <v/>
      </c>
      <c r="N48" s="209" t="str">
        <f t="array" ref="N48">IF(OR($C48="",$E48=""),"",(INDEX('Ffactorau Allyriadau'!$K$3:$V$201,MATCH('Adeiladau, Fflyd ac Offer '!$C48&amp;$D48,'Ffactorau Allyriadau'!$J$3:$J$201&amp;'Ffactorau Allyriadau'!$K$3:$K$201,0),MATCH('Adeiladau, Fflyd ac Offer '!N$7,'Ffactorau Allyriadau'!$K$2:$V$2,0)))*$G48)</f>
        <v/>
      </c>
      <c r="O48" s="209" t="str">
        <f t="array" ref="O48">IF(OR($C48="",$E48=""),"",(INDEX('Ffactorau Allyriadau'!$K$3:$V$201,MATCH('Adeiladau, Fflyd ac Offer '!$C48&amp;$D48,'Ffactorau Allyriadau'!$J$3:$J$201&amp;'Ffactorau Allyriadau'!$K$3:$K$201,0),MATCH('Adeiladau, Fflyd ac Offer '!O$7,'Ffactorau Allyriadau'!$K$2:$V$2,0)))*$G48)</f>
        <v/>
      </c>
      <c r="P48" s="209" t="str">
        <f t="array" ref="P48">IF(OR($C48="",$E48=""),"",(INDEX('Ffactorau Allyriadau'!$K$3:$V$201,MATCH('Adeiladau, Fflyd ac Offer '!$C48&amp;$D48,'Ffactorau Allyriadau'!$J$3:$J$201&amp;'Ffactorau Allyriadau'!$K$3:$K$201,0),MATCH('Adeiladau, Fflyd ac Offer '!P$7,'Ffactorau Allyriadau'!$K$2:$V$2,0)))*$G48)</f>
        <v/>
      </c>
    </row>
    <row r="49" spans="1:22" s="1" customFormat="1" ht="15" thickBot="1" x14ac:dyDescent="0.4">
      <c r="A49" s="35"/>
      <c r="B49" s="126"/>
      <c r="C49" s="123"/>
      <c r="D49" s="123"/>
      <c r="E49" s="120"/>
      <c r="F49" s="123"/>
      <c r="G49" s="125" t="str">
        <f t="array" ref="G49">IF(OR($C49="",$B49="",$E49="",$F49=""),"",IF(F49=H49,E49,(INDEX('Ffactorau Allyriadau'!$K$3:$V$201,MATCH(C49&amp;D49,'Ffactorau Allyriadau'!$J$3:$J$201&amp;'Ffactorau Allyriadau'!$K$3:$K$201,0),MATCH(G$41,'Ffactorau Allyriadau'!$K$2:$V$2,0)))*E49))</f>
        <v/>
      </c>
      <c r="H49" s="29" t="str">
        <f>IF(OR($C49="",$B49="",$E49="",$F49=""),"",INDEX('Ffactorau Allyriadau'!$K$3:$V$201,MATCH('Adeiladau, Fflyd ac Offer '!$C49,'Ffactorau Allyriadau'!$J$3:$J$201,0),MATCH($H$41,'Ffactorau Allyriadau'!$K$2:$V$2,0)))</f>
        <v/>
      </c>
      <c r="I49" s="143" t="str">
        <f t="array" ref="I49">IF(OR(C49="",E49="",FleetTableFuel[[#This Row],[Units]]=""),"",INDEX('Ffactorau Allyriadau'!$K$3:$V$201,MATCH('Adeiladau, Fflyd ac Offer '!$C49&amp;D49,'Ffactorau Allyriadau'!$J$3:$J$201&amp;'Ffactorau Allyriadau'!$K$3:$K$201,0),MATCH('Adeiladau, Fflyd ac Offer '!$I$41,'Ffactorau Allyriadau'!$K$2:$V$2,0)))</f>
        <v/>
      </c>
      <c r="J49" s="208" t="str">
        <f>IF(OR(G49="",I49=""),"",SUM(FleetTableFuel[[#This Row],[Direct]:[Indirect WTT]]))</f>
        <v/>
      </c>
      <c r="K49" s="122"/>
      <c r="L49" s="209" t="str">
        <f t="array" ref="L49">IF(OR($C49="",$E49=""),"",(INDEX('Ffactorau Allyriadau'!$K$3:$V$201,MATCH('Adeiladau, Fflyd ac Offer '!$C49&amp;$D49,'Ffactorau Allyriadau'!$J$3:$J$201&amp;'Ffactorau Allyriadau'!$K$3:$K$201,0),MATCH('Adeiladau, Fflyd ac Offer '!L$7,'Ffactorau Allyriadau'!$K$2:$V$2,0)))*$G49)</f>
        <v/>
      </c>
      <c r="M49" s="209" t="str">
        <f t="array" ref="M49">IF(OR($C49="",$E49=""),"",(INDEX('Ffactorau Allyriadau'!$K$3:$V$201,MATCH('Adeiladau, Fflyd ac Offer '!$C49&amp;$D49,'Ffactorau Allyriadau'!$J$3:$J$201&amp;'Ffactorau Allyriadau'!$K$3:$K$201,0),MATCH('Adeiladau, Fflyd ac Offer '!M$7,'Ffactorau Allyriadau'!$K$2:$V$2,0)))*$G49)</f>
        <v/>
      </c>
      <c r="N49" s="209" t="str">
        <f t="array" ref="N49">IF(OR($C49="",$E49=""),"",(INDEX('Ffactorau Allyriadau'!$K$3:$V$201,MATCH('Adeiladau, Fflyd ac Offer '!$C49&amp;$D49,'Ffactorau Allyriadau'!$J$3:$J$201&amp;'Ffactorau Allyriadau'!$K$3:$K$201,0),MATCH('Adeiladau, Fflyd ac Offer '!N$7,'Ffactorau Allyriadau'!$K$2:$V$2,0)))*$G49)</f>
        <v/>
      </c>
      <c r="O49" s="209" t="str">
        <f t="array" ref="O49">IF(OR($C49="",$E49=""),"",(INDEX('Ffactorau Allyriadau'!$K$3:$V$201,MATCH('Adeiladau, Fflyd ac Offer '!$C49&amp;$D49,'Ffactorau Allyriadau'!$J$3:$J$201&amp;'Ffactorau Allyriadau'!$K$3:$K$201,0),MATCH('Adeiladau, Fflyd ac Offer '!O$7,'Ffactorau Allyriadau'!$K$2:$V$2,0)))*$G49)</f>
        <v/>
      </c>
      <c r="P49" s="209" t="str">
        <f t="array" ref="P49">IF(OR($C49="",$E49=""),"",(INDEX('Ffactorau Allyriadau'!$K$3:$V$201,MATCH('Adeiladau, Fflyd ac Offer '!$C49&amp;$D49,'Ffactorau Allyriadau'!$J$3:$J$201&amp;'Ffactorau Allyriadau'!$K$3:$K$201,0),MATCH('Adeiladau, Fflyd ac Offer '!P$7,'Ffactorau Allyriadau'!$K$2:$V$2,0)))*$G49)</f>
        <v/>
      </c>
    </row>
    <row r="50" spans="1:22" s="1" customFormat="1" ht="15" thickBot="1" x14ac:dyDescent="0.4">
      <c r="A50" s="35"/>
      <c r="B50" s="126"/>
      <c r="C50" s="123"/>
      <c r="D50" s="123"/>
      <c r="E50" s="120"/>
      <c r="F50" s="123"/>
      <c r="G50" s="125" t="str">
        <f t="array" ref="G50">IF(OR($C50="",$B50="",$E50="",$F50=""),"",IF(F50=H50,E50,(INDEX('Ffactorau Allyriadau'!$K$3:$V$201,MATCH(C50&amp;D50,'Ffactorau Allyriadau'!$J$3:$J$201&amp;'Ffactorau Allyriadau'!$K$3:$K$201,0),MATCH(G$41,'Ffactorau Allyriadau'!$K$2:$V$2,0)))*E50))</f>
        <v/>
      </c>
      <c r="H50" s="29" t="str">
        <f>IF(OR($C50="",$B50="",$E50="",$F50=""),"",INDEX('Ffactorau Allyriadau'!$K$3:$V$201,MATCH('Adeiladau, Fflyd ac Offer '!$C50,'Ffactorau Allyriadau'!$J$3:$J$201,0),MATCH($H$41,'Ffactorau Allyriadau'!$K$2:$V$2,0)))</f>
        <v/>
      </c>
      <c r="I50" s="143" t="str">
        <f t="array" ref="I50">IF(OR(C50="",E50="",FleetTableFuel[[#This Row],[Units]]=""),"",INDEX('Ffactorau Allyriadau'!$K$3:$V$201,MATCH('Adeiladau, Fflyd ac Offer '!$C50&amp;D50,'Ffactorau Allyriadau'!$J$3:$J$201&amp;'Ffactorau Allyriadau'!$K$3:$K$201,0),MATCH('Adeiladau, Fflyd ac Offer '!$I$41,'Ffactorau Allyriadau'!$K$2:$V$2,0)))</f>
        <v/>
      </c>
      <c r="J50" s="208" t="str">
        <f>IF(OR(G50="",I50=""),"",SUM(FleetTableFuel[[#This Row],[Direct]:[Indirect WTT]]))</f>
        <v/>
      </c>
      <c r="K50" s="122"/>
      <c r="L50" s="209" t="str">
        <f t="array" ref="L50">IF(OR($C50="",$E50=""),"",(INDEX('Ffactorau Allyriadau'!$K$3:$V$201,MATCH('Adeiladau, Fflyd ac Offer '!$C50&amp;$D50,'Ffactorau Allyriadau'!$J$3:$J$201&amp;'Ffactorau Allyriadau'!$K$3:$K$201,0),MATCH('Adeiladau, Fflyd ac Offer '!L$7,'Ffactorau Allyriadau'!$K$2:$V$2,0)))*$G50)</f>
        <v/>
      </c>
      <c r="M50" s="209" t="str">
        <f t="array" ref="M50">IF(OR($C50="",$E50=""),"",(INDEX('Ffactorau Allyriadau'!$K$3:$V$201,MATCH('Adeiladau, Fflyd ac Offer '!$C50&amp;$D50,'Ffactorau Allyriadau'!$J$3:$J$201&amp;'Ffactorau Allyriadau'!$K$3:$K$201,0),MATCH('Adeiladau, Fflyd ac Offer '!M$7,'Ffactorau Allyriadau'!$K$2:$V$2,0)))*$G50)</f>
        <v/>
      </c>
      <c r="N50" s="209" t="str">
        <f t="array" ref="N50">IF(OR($C50="",$E50=""),"",(INDEX('Ffactorau Allyriadau'!$K$3:$V$201,MATCH('Adeiladau, Fflyd ac Offer '!$C50&amp;$D50,'Ffactorau Allyriadau'!$J$3:$J$201&amp;'Ffactorau Allyriadau'!$K$3:$K$201,0),MATCH('Adeiladau, Fflyd ac Offer '!N$7,'Ffactorau Allyriadau'!$K$2:$V$2,0)))*$G50)</f>
        <v/>
      </c>
      <c r="O50" s="209" t="str">
        <f t="array" ref="O50">IF(OR($C50="",$E50=""),"",(INDEX('Ffactorau Allyriadau'!$K$3:$V$201,MATCH('Adeiladau, Fflyd ac Offer '!$C50&amp;$D50,'Ffactorau Allyriadau'!$J$3:$J$201&amp;'Ffactorau Allyriadau'!$K$3:$K$201,0),MATCH('Adeiladau, Fflyd ac Offer '!O$7,'Ffactorau Allyriadau'!$K$2:$V$2,0)))*$G50)</f>
        <v/>
      </c>
      <c r="P50" s="209" t="str">
        <f t="array" ref="P50">IF(OR($C50="",$E50=""),"",(INDEX('Ffactorau Allyriadau'!$K$3:$V$201,MATCH('Adeiladau, Fflyd ac Offer '!$C50&amp;$D50,'Ffactorau Allyriadau'!$J$3:$J$201&amp;'Ffactorau Allyriadau'!$K$3:$K$201,0),MATCH('Adeiladau, Fflyd ac Offer '!P$7,'Ffactorau Allyriadau'!$K$2:$V$2,0)))*$G50)</f>
        <v/>
      </c>
    </row>
    <row r="51" spans="1:22" s="1" customFormat="1" ht="15" collapsed="1" thickBot="1" x14ac:dyDescent="0.4">
      <c r="A51" s="35"/>
      <c r="B51" s="126"/>
      <c r="C51" s="123"/>
      <c r="D51" s="123"/>
      <c r="E51" s="120"/>
      <c r="F51" s="123"/>
      <c r="G51" s="125" t="str">
        <f t="array" ref="G51">IF(OR($C51="",$B51="",$E51="",$F51=""),"",IF(F51=H51,E51,(INDEX('Ffactorau Allyriadau'!$K$3:$V$201,MATCH(C51&amp;D51,'Ffactorau Allyriadau'!$J$3:$J$201&amp;'Ffactorau Allyriadau'!$K$3:$K$201,0),MATCH(G$41,'Ffactorau Allyriadau'!$K$2:$V$2,0)))*E51))</f>
        <v/>
      </c>
      <c r="H51" s="29" t="str">
        <f>IF(OR($C51="",$B51="",$E51="",$F51=""),"",INDEX('Ffactorau Allyriadau'!$K$3:$V$201,MATCH('Adeiladau, Fflyd ac Offer '!$C51,'Ffactorau Allyriadau'!$J$3:$J$201,0),MATCH($H$41,'Ffactorau Allyriadau'!$K$2:$V$2,0)))</f>
        <v/>
      </c>
      <c r="I51" s="143" t="str">
        <f t="array" ref="I51">IF(OR(C51="",E51="",FleetTableFuel[[#This Row],[Units]]=""),"",INDEX('Ffactorau Allyriadau'!$K$3:$V$201,MATCH('Adeiladau, Fflyd ac Offer '!$C51&amp;D51,'Ffactorau Allyriadau'!$J$3:$J$201&amp;'Ffactorau Allyriadau'!$K$3:$K$201,0),MATCH('Adeiladau, Fflyd ac Offer '!$I$41,'Ffactorau Allyriadau'!$K$2:$V$2,0)))</f>
        <v/>
      </c>
      <c r="J51" s="208" t="str">
        <f>IF(OR(G51="",I51=""),"",SUM(FleetTableFuel[[#This Row],[Direct]:[Indirect WTT]]))</f>
        <v/>
      </c>
      <c r="K51" s="122"/>
      <c r="L51" s="209" t="str">
        <f t="array" ref="L51">IF(OR($C51="",$E51=""),"",(INDEX('Ffactorau Allyriadau'!$K$3:$V$201,MATCH('Adeiladau, Fflyd ac Offer '!$C51&amp;$D51,'Ffactorau Allyriadau'!$J$3:$J$201&amp;'Ffactorau Allyriadau'!$K$3:$K$201,0),MATCH('Adeiladau, Fflyd ac Offer '!L$7,'Ffactorau Allyriadau'!$K$2:$V$2,0)))*$G51)</f>
        <v/>
      </c>
      <c r="M51" s="209" t="str">
        <f t="array" ref="M51">IF(OR($C51="",$E51=""),"",(INDEX('Ffactorau Allyriadau'!$K$3:$V$201,MATCH('Adeiladau, Fflyd ac Offer '!$C51&amp;$D51,'Ffactorau Allyriadau'!$J$3:$J$201&amp;'Ffactorau Allyriadau'!$K$3:$K$201,0),MATCH('Adeiladau, Fflyd ac Offer '!M$7,'Ffactorau Allyriadau'!$K$2:$V$2,0)))*$G51)</f>
        <v/>
      </c>
      <c r="N51" s="209" t="str">
        <f t="array" ref="N51">IF(OR($C51="",$E51=""),"",(INDEX('Ffactorau Allyriadau'!$K$3:$V$201,MATCH('Adeiladau, Fflyd ac Offer '!$C51&amp;$D51,'Ffactorau Allyriadau'!$J$3:$J$201&amp;'Ffactorau Allyriadau'!$K$3:$K$201,0),MATCH('Adeiladau, Fflyd ac Offer '!N$7,'Ffactorau Allyriadau'!$K$2:$V$2,0)))*$G51)</f>
        <v/>
      </c>
      <c r="O51" s="209" t="str">
        <f t="array" ref="O51">IF(OR($C51="",$E51=""),"",(INDEX('Ffactorau Allyriadau'!$K$3:$V$201,MATCH('Adeiladau, Fflyd ac Offer '!$C51&amp;$D51,'Ffactorau Allyriadau'!$J$3:$J$201&amp;'Ffactorau Allyriadau'!$K$3:$K$201,0),MATCH('Adeiladau, Fflyd ac Offer '!O$7,'Ffactorau Allyriadau'!$K$2:$V$2,0)))*$G51)</f>
        <v/>
      </c>
      <c r="P51" s="209" t="str">
        <f t="array" ref="P51">IF(OR($C51="",$E51=""),"",(INDEX('Ffactorau Allyriadau'!$K$3:$V$201,MATCH('Adeiladau, Fflyd ac Offer '!$C51&amp;$D51,'Ffactorau Allyriadau'!$J$3:$J$201&amp;'Ffactorau Allyriadau'!$K$3:$K$201,0),MATCH('Adeiladau, Fflyd ac Offer '!P$7,'Ffactorau Allyriadau'!$K$2:$V$2,0)))*$G51)</f>
        <v/>
      </c>
    </row>
    <row r="52" spans="1:22" s="1" customFormat="1" ht="15" thickBot="1" x14ac:dyDescent="0.4">
      <c r="A52" s="35"/>
      <c r="B52" s="126"/>
      <c r="C52" s="123"/>
      <c r="D52" s="123"/>
      <c r="E52" s="120"/>
      <c r="F52" s="123"/>
      <c r="G52" s="125" t="str">
        <f t="array" ref="G52">IF(OR($C52="",$B52="",$E52="",$F52=""),"",IF(F52=H52,E52,(INDEX('Ffactorau Allyriadau'!$K$3:$V$201,MATCH(C52&amp;D52,'Ffactorau Allyriadau'!$J$3:$J$201&amp;'Ffactorau Allyriadau'!$K$3:$K$201,0),MATCH(G$41,'Ffactorau Allyriadau'!$K$2:$V$2,0)))*E52))</f>
        <v/>
      </c>
      <c r="H52" s="29" t="str">
        <f>IF(OR($C52="",$B52="",$E52="",$F52=""),"",INDEX('Ffactorau Allyriadau'!$K$3:$V$201,MATCH('Adeiladau, Fflyd ac Offer '!$C52,'Ffactorau Allyriadau'!$J$3:$J$201,0),MATCH($H$41,'Ffactorau Allyriadau'!$K$2:$V$2,0)))</f>
        <v/>
      </c>
      <c r="I52" s="143" t="str">
        <f t="array" ref="I52">IF(OR(C52="",E52="",FleetTableFuel[[#This Row],[Units]]=""),"",INDEX('Ffactorau Allyriadau'!$K$3:$V$201,MATCH('Adeiladau, Fflyd ac Offer '!$C52&amp;D52,'Ffactorau Allyriadau'!$J$3:$J$201&amp;'Ffactorau Allyriadau'!$K$3:$K$201,0),MATCH('Adeiladau, Fflyd ac Offer '!$I$41,'Ffactorau Allyriadau'!$K$2:$V$2,0)))</f>
        <v/>
      </c>
      <c r="J52" s="208" t="str">
        <f>IF(OR(G52="",I52=""),"",SUM(FleetTableFuel[[#This Row],[Direct]:[Indirect WTT]]))</f>
        <v/>
      </c>
      <c r="K52" s="122"/>
      <c r="L52" s="209" t="str">
        <f t="array" ref="L52">IF(OR($C52="",$E52=""),"",(INDEX('Ffactorau Allyriadau'!$K$3:$V$201,MATCH('Adeiladau, Fflyd ac Offer '!$C52&amp;$D52,'Ffactorau Allyriadau'!$J$3:$J$201&amp;'Ffactorau Allyriadau'!$K$3:$K$201,0),MATCH('Adeiladau, Fflyd ac Offer '!L$7,'Ffactorau Allyriadau'!$K$2:$V$2,0)))*$G52)</f>
        <v/>
      </c>
      <c r="M52" s="209" t="str">
        <f t="array" ref="M52">IF(OR($C52="",$E52=""),"",(INDEX('Ffactorau Allyriadau'!$K$3:$V$201,MATCH('Adeiladau, Fflyd ac Offer '!$C52&amp;$D52,'Ffactorau Allyriadau'!$J$3:$J$201&amp;'Ffactorau Allyriadau'!$K$3:$K$201,0),MATCH('Adeiladau, Fflyd ac Offer '!M$7,'Ffactorau Allyriadau'!$K$2:$V$2,0)))*$G52)</f>
        <v/>
      </c>
      <c r="N52" s="209" t="str">
        <f t="array" ref="N52">IF(OR($C52="",$E52=""),"",(INDEX('Ffactorau Allyriadau'!$K$3:$V$201,MATCH('Adeiladau, Fflyd ac Offer '!$C52&amp;$D52,'Ffactorau Allyriadau'!$J$3:$J$201&amp;'Ffactorau Allyriadau'!$K$3:$K$201,0),MATCH('Adeiladau, Fflyd ac Offer '!N$7,'Ffactorau Allyriadau'!$K$2:$V$2,0)))*$G52)</f>
        <v/>
      </c>
      <c r="O52" s="209" t="str">
        <f t="array" ref="O52">IF(OR($C52="",$E52=""),"",(INDEX('Ffactorau Allyriadau'!$K$3:$V$201,MATCH('Adeiladau, Fflyd ac Offer '!$C52&amp;$D52,'Ffactorau Allyriadau'!$J$3:$J$201&amp;'Ffactorau Allyriadau'!$K$3:$K$201,0),MATCH('Adeiladau, Fflyd ac Offer '!O$7,'Ffactorau Allyriadau'!$K$2:$V$2,0)))*$G52)</f>
        <v/>
      </c>
      <c r="P52" s="209" t="str">
        <f t="array" ref="P52">IF(OR($C52="",$E52=""),"",(INDEX('Ffactorau Allyriadau'!$K$3:$V$201,MATCH('Adeiladau, Fflyd ac Offer '!$C52&amp;$D52,'Ffactorau Allyriadau'!$J$3:$J$201&amp;'Ffactorau Allyriadau'!$K$3:$K$201,0),MATCH('Adeiladau, Fflyd ac Offer '!P$7,'Ffactorau Allyriadau'!$K$2:$V$2,0)))*$G52)</f>
        <v/>
      </c>
    </row>
    <row r="53" spans="1:22" s="1" customFormat="1" x14ac:dyDescent="0.35">
      <c r="A53" s="44"/>
      <c r="B53" s="46"/>
      <c r="C53" s="46"/>
      <c r="D53" s="46"/>
      <c r="E53" s="27"/>
      <c r="F53" s="27"/>
      <c r="G53" s="27"/>
      <c r="H53" s="27"/>
      <c r="I53" s="27"/>
      <c r="J53" s="27"/>
      <c r="K53" s="27"/>
      <c r="L53" s="27"/>
      <c r="M53" s="27"/>
      <c r="N53" s="27"/>
      <c r="O53" s="27"/>
      <c r="P53" s="27"/>
      <c r="Q53" s="27"/>
      <c r="R53" s="27"/>
      <c r="S53" s="27"/>
      <c r="T53" s="27"/>
      <c r="U53" s="214"/>
      <c r="V53" s="108"/>
    </row>
    <row r="54" spans="1:22" s="1" customFormat="1" ht="19" thickBot="1" x14ac:dyDescent="0.5">
      <c r="A54" s="35"/>
      <c r="B54" s="144" t="s">
        <v>91</v>
      </c>
      <c r="I54" s="128" t="str">
        <f>IFERROR(IF(SUM(FleetTableDistance[Total EF (kgCO2e/unit)])&gt;0,"No errors in this table","No data entered"), "There is an error in this table, see highlighted row(s)")</f>
        <v>No data entered</v>
      </c>
      <c r="L54" s="40" t="s">
        <v>765</v>
      </c>
      <c r="O54" s="40"/>
      <c r="T54" s="44"/>
      <c r="U54" s="215"/>
      <c r="V54" s="54"/>
    </row>
    <row r="55" spans="1:22" s="1" customFormat="1" ht="34.5" customHeight="1" thickBot="1" x14ac:dyDescent="0.4">
      <c r="A55" s="35"/>
      <c r="B55" s="41" t="s">
        <v>88</v>
      </c>
      <c r="C55" s="28" t="s">
        <v>89</v>
      </c>
      <c r="D55" s="28" t="s">
        <v>92</v>
      </c>
      <c r="E55" s="28" t="s">
        <v>59</v>
      </c>
      <c r="F55" s="28" t="s">
        <v>60</v>
      </c>
      <c r="G55" s="28" t="s">
        <v>61</v>
      </c>
      <c r="H55" s="28" t="s">
        <v>62</v>
      </c>
      <c r="I55" s="28" t="s">
        <v>763</v>
      </c>
      <c r="J55" s="28" t="s">
        <v>764</v>
      </c>
      <c r="K55" s="28" t="s">
        <v>64</v>
      </c>
      <c r="L55" s="8" t="s">
        <v>7</v>
      </c>
      <c r="M55" s="8" t="s">
        <v>65</v>
      </c>
      <c r="N55" s="8" t="s">
        <v>66</v>
      </c>
      <c r="O55" s="8" t="s">
        <v>67</v>
      </c>
      <c r="P55" s="8" t="s">
        <v>68</v>
      </c>
    </row>
    <row r="56" spans="1:22" s="1" customFormat="1" ht="15" thickBot="1" x14ac:dyDescent="0.4">
      <c r="A56" s="35"/>
      <c r="B56" s="126"/>
      <c r="C56" s="123"/>
      <c r="D56" s="123"/>
      <c r="E56" s="227"/>
      <c r="F56" s="123"/>
      <c r="G56" s="125" t="str">
        <f t="array" ref="G56">IF(OR($C56="",$B56="",$E56="",$F56=""),"",IF(F56=H56,E56,(INDEX('Ffactorau Allyriadau'!$K$3:$V$201,MATCH(B56&amp;D56,'Ffactorau Allyriadau'!$J$3:$J$201&amp;'Ffactorau Allyriadau'!$K$3:$K$201,0),MATCH(G$41,'Ffactorau Allyriadau'!$K$2:$V$2,0)))*E56))</f>
        <v/>
      </c>
      <c r="H56" s="29" t="str">
        <f>IF(OR($C56="",$B56="",$E56="",$F56=""),"",INDEX('Ffactorau Allyriadau'!$K$3:$V$212,MATCH('Adeiladau, Fflyd ac Offer '!$B56,'Ffactorau Allyriadau'!$J$3:$J$212,0),MATCH($H$55,'Ffactorau Allyriadau'!$K$2:$V$2,0)))</f>
        <v/>
      </c>
      <c r="I56" s="143" t="str">
        <f t="array" ref="I56">IF(OR(FleetTableDistance[[#This Row],[Type]]="",C56="",E56=""),"",INDEX('Ffactorau Allyriadau'!$K$3:$V$212,MATCH('Adeiladau, Fflyd ac Offer '!$B56&amp;C56&amp;FleetTableDistance[[#This Row],[Size]],'Ffactorau Allyriadau'!$J$3:$J$212&amp;'Ffactorau Allyriadau'!$L$3:$L$212&amp;'Ffactorau Allyriadau'!$K$3:$K$212,0),MATCH('Adeiladau, Fflyd ac Offer '!$I$41,'Ffactorau Allyriadau'!$K$2:$V$2,0)))</f>
        <v/>
      </c>
      <c r="J56" s="208" t="str">
        <f>IF(OR(G56="",I56=""),"",SUM(FleetTableDistance[[#This Row],[Direct]:[Indirect WTT]]))</f>
        <v/>
      </c>
      <c r="K56" s="122"/>
      <c r="L56" s="209" t="str">
        <f t="array" ref="L56">IF(OR($C56="",$E56=""),"",(INDEX('Ffactorau Allyriadau'!$K$3:$V$379,MATCH(FleetTableDistance[[#This Row],[Type]]&amp;$C56&amp;$D56,'Ffactorau Allyriadau'!$J$3:$J$379&amp;'Ffactorau Allyriadau'!$L$3:$L$379&amp;'Ffactorau Allyriadau'!$K$3:$K$379,0),MATCH('Adeiladau, Fflyd ac Offer '!L$7,'Ffactorau Allyriadau'!$K$2:$V$2,0)))*$G56)</f>
        <v/>
      </c>
      <c r="M56" s="209" t="str">
        <f t="array" ref="M56">IF(OR($C56="",$E56=""),"",(INDEX('Ffactorau Allyriadau'!$K$3:$V$212,MATCH(FleetTableDistance[[#This Row],[Type]]&amp;$C56&amp;$D56,'Ffactorau Allyriadau'!$J$3:$J$212&amp;'Ffactorau Allyriadau'!$L$3:$L$212&amp;'Ffactorau Allyriadau'!$K$3:$K$212,0),MATCH('Adeiladau, Fflyd ac Offer '!M$7,'Ffactorau Allyriadau'!$K$2:$V$2,0)))*$G56)</f>
        <v/>
      </c>
      <c r="N56" s="209" t="str">
        <f t="array" ref="N56">IF(OR($C56="",$E56=""),"",(INDEX('Ffactorau Allyriadau'!$K$3:$V$212,MATCH(FleetTableDistance[[#This Row],[Type]]&amp;$C56&amp;$D56,'Ffactorau Allyriadau'!$J$3:$J$212&amp;'Ffactorau Allyriadau'!$L$3:$L$212&amp;'Ffactorau Allyriadau'!$K$3:$K$212,0),MATCH('Adeiladau, Fflyd ac Offer '!N$7,'Ffactorau Allyriadau'!$K$2:$V$2,0)))*$G56)</f>
        <v/>
      </c>
      <c r="O56" s="209" t="str">
        <f t="array" ref="O56">IF(OR($C56="",$E56=""),"",(INDEX('Ffactorau Allyriadau'!$K$3:$V$212,MATCH(FleetTableDistance[[#This Row],[Type]]&amp;$C56&amp;$D56,'Ffactorau Allyriadau'!$J$3:$J$212&amp;'Ffactorau Allyriadau'!$L$3:$L$212&amp;'Ffactorau Allyriadau'!$K$3:$K$212,0),MATCH('Adeiladau, Fflyd ac Offer '!O$7,'Ffactorau Allyriadau'!$K$2:$V$2,0)))*$G56)</f>
        <v/>
      </c>
      <c r="P56" s="209" t="str">
        <f t="array" ref="P56">IF(OR($C56="",$E56=""),"",(INDEX('Ffactorau Allyriadau'!$K$3:$V$212,MATCH(FleetTableDistance[[#This Row],[Type]]&amp;$C56&amp;$D56,'Ffactorau Allyriadau'!$J$3:$J$212&amp;'Ffactorau Allyriadau'!$L$3:$L$212&amp;'Ffactorau Allyriadau'!$K$3:$K$212,0),MATCH('Adeiladau, Fflyd ac Offer '!P$7,'Ffactorau Allyriadau'!$K$2:$V$2,0)))*$G56)</f>
        <v/>
      </c>
    </row>
    <row r="57" spans="1:22" s="1" customFormat="1" ht="15" thickBot="1" x14ac:dyDescent="0.4">
      <c r="A57" s="35"/>
      <c r="B57" s="126"/>
      <c r="C57" s="123"/>
      <c r="D57" s="123"/>
      <c r="E57" s="120"/>
      <c r="F57" s="123"/>
      <c r="G57" s="125" t="str">
        <f t="array" ref="G57">IF(OR($C57="",$B57="",$E57="",$F57=""),"",IF(F57=H57,E57,(INDEX('Ffactorau Allyriadau'!$K$3:$V$201,MATCH(B57&amp;D57,'Ffactorau Allyriadau'!$J$3:$J$201&amp;'Ffactorau Allyriadau'!$K$3:$K$201,0),MATCH(G$41,'Ffactorau Allyriadau'!$K$2:$V$2,0)))*E57))</f>
        <v/>
      </c>
      <c r="H57" s="29" t="str">
        <f>IF(OR($C57="",$B57="",$E57="",$F57=""),"",INDEX('Ffactorau Allyriadau'!$K$3:$V$212,MATCH('Adeiladau, Fflyd ac Offer '!$B57,'Ffactorau Allyriadau'!$J$3:$J$212,0),MATCH($H$55,'Ffactorau Allyriadau'!$K$2:$V$2,0)))</f>
        <v/>
      </c>
      <c r="I57" s="143" t="str">
        <f t="array" ref="I57">IF(OR(FleetTableDistance[[#This Row],[Type]]="",C57="",E57=""),"",INDEX('Ffactorau Allyriadau'!$K$3:$V$212,MATCH('Adeiladau, Fflyd ac Offer '!$B57&amp;C57&amp;FleetTableDistance[[#This Row],[Size]],'Ffactorau Allyriadau'!$J$3:$J$212&amp;'Ffactorau Allyriadau'!$L$3:$L$212&amp;'Ffactorau Allyriadau'!$K$3:$K$212,0),MATCH('Adeiladau, Fflyd ac Offer '!$I$41,'Ffactorau Allyriadau'!$K$2:$V$2,0)))</f>
        <v/>
      </c>
      <c r="J57" s="208" t="str">
        <f>IF(OR(G57="",I57=""),"",SUM(FleetTableDistance[[#This Row],[Direct]:[Indirect WTT]]))</f>
        <v/>
      </c>
      <c r="K57" s="122"/>
      <c r="L57" s="209" t="str">
        <f t="array" ref="L57">IF(OR($C57="",$E57=""),"",(INDEX('Ffactorau Allyriadau'!$K$3:$V$379,MATCH(FleetTableDistance[[#This Row],[Type]]&amp;$C57&amp;$D57,'Ffactorau Allyriadau'!$J$3:$J$379&amp;'Ffactorau Allyriadau'!$L$3:$L$379&amp;'Ffactorau Allyriadau'!$K$3:$K$379,0),MATCH('Adeiladau, Fflyd ac Offer '!L$7,'Ffactorau Allyriadau'!$K$2:$V$2,0)))*$G57)</f>
        <v/>
      </c>
      <c r="M57" s="209" t="str">
        <f t="array" ref="M57">IF(OR($C57="",$E57=""),"",(INDEX('Ffactorau Allyriadau'!$K$3:$V$212,MATCH(FleetTableDistance[[#This Row],[Type]]&amp;$C57&amp;$D57,'Ffactorau Allyriadau'!$J$3:$J$212&amp;'Ffactorau Allyriadau'!$L$3:$L$212&amp;'Ffactorau Allyriadau'!$K$3:$K$212,0),MATCH('Adeiladau, Fflyd ac Offer '!M$7,'Ffactorau Allyriadau'!$K$2:$V$2,0)))*$G57)</f>
        <v/>
      </c>
      <c r="N57" s="209" t="str">
        <f t="array" ref="N57">IF(OR($C57="",$E57=""),"",(INDEX('Ffactorau Allyriadau'!$K$3:$V$212,MATCH(FleetTableDistance[[#This Row],[Type]]&amp;$C57&amp;$D57,'Ffactorau Allyriadau'!$J$3:$J$212&amp;'Ffactorau Allyriadau'!$L$3:$L$212&amp;'Ffactorau Allyriadau'!$K$3:$K$212,0),MATCH('Adeiladau, Fflyd ac Offer '!N$7,'Ffactorau Allyriadau'!$K$2:$V$2,0)))*$G57)</f>
        <v/>
      </c>
      <c r="O57" s="209" t="str">
        <f t="array" ref="O57">IF(OR($C57="",$E57=""),"",(INDEX('Ffactorau Allyriadau'!$K$3:$V$212,MATCH(FleetTableDistance[[#This Row],[Type]]&amp;$C57&amp;$D57,'Ffactorau Allyriadau'!$J$3:$J$212&amp;'Ffactorau Allyriadau'!$L$3:$L$212&amp;'Ffactorau Allyriadau'!$K$3:$K$212,0),MATCH('Adeiladau, Fflyd ac Offer '!O$7,'Ffactorau Allyriadau'!$K$2:$V$2,0)))*$G57)</f>
        <v/>
      </c>
      <c r="P57" s="209" t="str">
        <f t="array" ref="P57">IF(OR($C57="",$E57=""),"",(INDEX('Ffactorau Allyriadau'!$K$3:$V$212,MATCH(FleetTableDistance[[#This Row],[Type]]&amp;$C57&amp;$D57,'Ffactorau Allyriadau'!$J$3:$J$212&amp;'Ffactorau Allyriadau'!$L$3:$L$212&amp;'Ffactorau Allyriadau'!$K$3:$K$212,0),MATCH('Adeiladau, Fflyd ac Offer '!P$7,'Ffactorau Allyriadau'!$K$2:$V$2,0)))*$G57)</f>
        <v/>
      </c>
    </row>
    <row r="58" spans="1:22" s="1" customFormat="1" ht="15" thickBot="1" x14ac:dyDescent="0.4">
      <c r="A58" s="35"/>
      <c r="B58" s="126"/>
      <c r="C58" s="123"/>
      <c r="D58" s="123"/>
      <c r="E58" s="120"/>
      <c r="F58" s="123"/>
      <c r="G58" s="125" t="str">
        <f t="array" ref="G58">IF(OR($C58="",$B58="",$E58="",$F58=""),"",IF(F58=H58,E58,(INDEX('Ffactorau Allyriadau'!$K$3:$V$201,MATCH(B58&amp;D58,'Ffactorau Allyriadau'!$J$3:$J$201&amp;'Ffactorau Allyriadau'!$K$3:$K$201,0),MATCH(G$41,'Ffactorau Allyriadau'!$K$2:$V$2,0)))*E58))</f>
        <v/>
      </c>
      <c r="H58" s="29" t="str">
        <f>IF(OR($C58="",$B58="",$E58="",$F58=""),"",INDEX('Ffactorau Allyriadau'!$K$3:$V$212,MATCH('Adeiladau, Fflyd ac Offer '!$B58,'Ffactorau Allyriadau'!$J$3:$J$212,0),MATCH($H$55,'Ffactorau Allyriadau'!$K$2:$V$2,0)))</f>
        <v/>
      </c>
      <c r="I58" s="143" t="str">
        <f t="array" ref="I58">IF(OR(FleetTableDistance[[#This Row],[Type]]="",C58="",E58=""),"",INDEX('Ffactorau Allyriadau'!$K$3:$V$212,MATCH('Adeiladau, Fflyd ac Offer '!$B58&amp;C58&amp;FleetTableDistance[[#This Row],[Size]],'Ffactorau Allyriadau'!$J$3:$J$212&amp;'Ffactorau Allyriadau'!$L$3:$L$212&amp;'Ffactorau Allyriadau'!$K$3:$K$212,0),MATCH('Adeiladau, Fflyd ac Offer '!$I$41,'Ffactorau Allyriadau'!$K$2:$V$2,0)))</f>
        <v/>
      </c>
      <c r="J58" s="208" t="str">
        <f>IF(OR(G58="",I58=""),"",SUM(FleetTableDistance[[#This Row],[Direct]:[Indirect WTT]]))</f>
        <v/>
      </c>
      <c r="K58" s="122"/>
      <c r="L58" s="209" t="str">
        <f t="array" ref="L58">IF(OR($C58="",$E58=""),"",(INDEX('Ffactorau Allyriadau'!$K$3:$V$379,MATCH(FleetTableDistance[[#This Row],[Type]]&amp;$C58&amp;$D58,'Ffactorau Allyriadau'!$J$3:$J$379&amp;'Ffactorau Allyriadau'!$L$3:$L$379&amp;'Ffactorau Allyriadau'!$K$3:$K$379,0),MATCH('Adeiladau, Fflyd ac Offer '!L$7,'Ffactorau Allyriadau'!$K$2:$V$2,0)))*$G58)</f>
        <v/>
      </c>
      <c r="M58" s="209" t="str">
        <f t="array" ref="M58">IF(OR($C58="",$E58=""),"",(INDEX('Ffactorau Allyriadau'!$K$3:$V$212,MATCH(FleetTableDistance[[#This Row],[Type]]&amp;$C58&amp;$D58,'Ffactorau Allyriadau'!$J$3:$J$212&amp;'Ffactorau Allyriadau'!$L$3:$L$212&amp;'Ffactorau Allyriadau'!$K$3:$K$212,0),MATCH('Adeiladau, Fflyd ac Offer '!M$7,'Ffactorau Allyriadau'!$K$2:$V$2,0)))*$G58)</f>
        <v/>
      </c>
      <c r="N58" s="209" t="str">
        <f t="array" ref="N58">IF(OR($C58="",$E58=""),"",(INDEX('Ffactorau Allyriadau'!$K$3:$V$212,MATCH(FleetTableDistance[[#This Row],[Type]]&amp;$C58&amp;$D58,'Ffactorau Allyriadau'!$J$3:$J$212&amp;'Ffactorau Allyriadau'!$L$3:$L$212&amp;'Ffactorau Allyriadau'!$K$3:$K$212,0),MATCH('Adeiladau, Fflyd ac Offer '!N$7,'Ffactorau Allyriadau'!$K$2:$V$2,0)))*$G58)</f>
        <v/>
      </c>
      <c r="O58" s="209" t="str">
        <f t="array" ref="O58">IF(OR($C58="",$E58=""),"",(INDEX('Ffactorau Allyriadau'!$K$3:$V$212,MATCH(FleetTableDistance[[#This Row],[Type]]&amp;$C58&amp;$D58,'Ffactorau Allyriadau'!$J$3:$J$212&amp;'Ffactorau Allyriadau'!$L$3:$L$212&amp;'Ffactorau Allyriadau'!$K$3:$K$212,0),MATCH('Adeiladau, Fflyd ac Offer '!O$7,'Ffactorau Allyriadau'!$K$2:$V$2,0)))*$G58)</f>
        <v/>
      </c>
      <c r="P58" s="209" t="str">
        <f t="array" ref="P58">IF(OR($C58="",$E58=""),"",(INDEX('Ffactorau Allyriadau'!$K$3:$V$212,MATCH(FleetTableDistance[[#This Row],[Type]]&amp;$C58&amp;$D58,'Ffactorau Allyriadau'!$J$3:$J$212&amp;'Ffactorau Allyriadau'!$L$3:$L$212&amp;'Ffactorau Allyriadau'!$K$3:$K$212,0),MATCH('Adeiladau, Fflyd ac Offer '!P$7,'Ffactorau Allyriadau'!$K$2:$V$2,0)))*$G58)</f>
        <v/>
      </c>
    </row>
    <row r="59" spans="1:22" s="1" customFormat="1" ht="15" thickBot="1" x14ac:dyDescent="0.4">
      <c r="A59" s="35"/>
      <c r="B59" s="126"/>
      <c r="C59" s="123"/>
      <c r="D59" s="123"/>
      <c r="E59" s="120"/>
      <c r="F59" s="123"/>
      <c r="G59" s="125" t="str">
        <f t="array" ref="G59">IF(OR($C59="",$B59="",$E59="",$F59=""),"",IF(F59=H59,E59,(INDEX('Ffactorau Allyriadau'!$K$3:$V$201,MATCH(B59&amp;D59,'Ffactorau Allyriadau'!$J$3:$J$201&amp;'Ffactorau Allyriadau'!$K$3:$K$201,0),MATCH(G$41,'Ffactorau Allyriadau'!$K$2:$V$2,0)))*E59))</f>
        <v/>
      </c>
      <c r="H59" s="29" t="str">
        <f>IF(OR($C59="",$B59="",$E59="",$F59=""),"",INDEX('Ffactorau Allyriadau'!$K$3:$V$212,MATCH('Adeiladau, Fflyd ac Offer '!$B59,'Ffactorau Allyriadau'!$J$3:$J$212,0),MATCH($H$55,'Ffactorau Allyriadau'!$K$2:$V$2,0)))</f>
        <v/>
      </c>
      <c r="I59" s="143" t="str">
        <f t="array" ref="I59">IF(OR(FleetTableDistance[[#This Row],[Type]]="",C59="",E59=""),"",INDEX('Ffactorau Allyriadau'!$K$3:$V$212,MATCH('Adeiladau, Fflyd ac Offer '!$B59&amp;C59&amp;FleetTableDistance[[#This Row],[Size]],'Ffactorau Allyriadau'!$J$3:$J$212&amp;'Ffactorau Allyriadau'!$L$3:$L$212&amp;'Ffactorau Allyriadau'!$K$3:$K$212,0),MATCH('Adeiladau, Fflyd ac Offer '!$I$41,'Ffactorau Allyriadau'!$K$2:$V$2,0)))</f>
        <v/>
      </c>
      <c r="J59" s="208" t="str">
        <f>IF(OR(G59="",I59=""),"",SUM(FleetTableDistance[[#This Row],[Direct]:[Indirect WTT]]))</f>
        <v/>
      </c>
      <c r="K59" s="122"/>
      <c r="L59" s="209" t="str">
        <f t="array" ref="L59">IF(OR($C59="",$E59=""),"",(INDEX('Ffactorau Allyriadau'!$K$3:$V$379,MATCH(FleetTableDistance[[#This Row],[Type]]&amp;$C59&amp;$D59,'Ffactorau Allyriadau'!$J$3:$J$379&amp;'Ffactorau Allyriadau'!$L$3:$L$379&amp;'Ffactorau Allyriadau'!$K$3:$K$379,0),MATCH('Adeiladau, Fflyd ac Offer '!L$7,'Ffactorau Allyriadau'!$K$2:$V$2,0)))*$G59)</f>
        <v/>
      </c>
      <c r="M59" s="209" t="str">
        <f t="array" ref="M59">IF(OR($C59="",$E59=""),"",(INDEX('Ffactorau Allyriadau'!$K$3:$V$212,MATCH(FleetTableDistance[[#This Row],[Type]]&amp;$C59&amp;$D59,'Ffactorau Allyriadau'!$J$3:$J$212&amp;'Ffactorau Allyriadau'!$L$3:$L$212&amp;'Ffactorau Allyriadau'!$K$3:$K$212,0),MATCH('Adeiladau, Fflyd ac Offer '!M$7,'Ffactorau Allyriadau'!$K$2:$V$2,0)))*$G59)</f>
        <v/>
      </c>
      <c r="N59" s="209" t="str">
        <f t="array" ref="N59">IF(OR($C59="",$E59=""),"",(INDEX('Ffactorau Allyriadau'!$K$3:$V$212,MATCH(FleetTableDistance[[#This Row],[Type]]&amp;$C59&amp;$D59,'Ffactorau Allyriadau'!$J$3:$J$212&amp;'Ffactorau Allyriadau'!$L$3:$L$212&amp;'Ffactorau Allyriadau'!$K$3:$K$212,0),MATCH('Adeiladau, Fflyd ac Offer '!N$7,'Ffactorau Allyriadau'!$K$2:$V$2,0)))*$G59)</f>
        <v/>
      </c>
      <c r="O59" s="209" t="str">
        <f t="array" ref="O59">IF(OR($C59="",$E59=""),"",(INDEX('Ffactorau Allyriadau'!$K$3:$V$212,MATCH(FleetTableDistance[[#This Row],[Type]]&amp;$C59&amp;$D59,'Ffactorau Allyriadau'!$J$3:$J$212&amp;'Ffactorau Allyriadau'!$L$3:$L$212&amp;'Ffactorau Allyriadau'!$K$3:$K$212,0),MATCH('Adeiladau, Fflyd ac Offer '!O$7,'Ffactorau Allyriadau'!$K$2:$V$2,0)))*$G59)</f>
        <v/>
      </c>
      <c r="P59" s="209" t="str">
        <f t="array" ref="P59">IF(OR($C59="",$E59=""),"",(INDEX('Ffactorau Allyriadau'!$K$3:$V$212,MATCH(FleetTableDistance[[#This Row],[Type]]&amp;$C59&amp;$D59,'Ffactorau Allyriadau'!$J$3:$J$212&amp;'Ffactorau Allyriadau'!$L$3:$L$212&amp;'Ffactorau Allyriadau'!$K$3:$K$212,0),MATCH('Adeiladau, Fflyd ac Offer '!P$7,'Ffactorau Allyriadau'!$K$2:$V$2,0)))*$G59)</f>
        <v/>
      </c>
    </row>
    <row r="60" spans="1:22" s="1" customFormat="1" ht="15" thickBot="1" x14ac:dyDescent="0.4">
      <c r="A60" s="35"/>
      <c r="B60" s="126"/>
      <c r="C60" s="123"/>
      <c r="D60" s="123"/>
      <c r="E60" s="120"/>
      <c r="F60" s="123"/>
      <c r="G60" s="125" t="str">
        <f t="array" ref="G60">IF(OR($C60="",$B60="",$E60="",$F60=""),"",IF(F60=H60,E60,(INDEX('Ffactorau Allyriadau'!$K$3:$V$201,MATCH(B60&amp;D60,'Ffactorau Allyriadau'!$J$3:$J$201&amp;'Ffactorau Allyriadau'!$K$3:$K$201,0),MATCH(G$41,'Ffactorau Allyriadau'!$K$2:$V$2,0)))*E60))</f>
        <v/>
      </c>
      <c r="H60" s="29" t="str">
        <f>IF(OR($C60="",$B60="",$E60="",$F60=""),"",INDEX('Ffactorau Allyriadau'!$K$3:$V$212,MATCH('Adeiladau, Fflyd ac Offer '!$B60,'Ffactorau Allyriadau'!$J$3:$J$212,0),MATCH($H$55,'Ffactorau Allyriadau'!$K$2:$V$2,0)))</f>
        <v/>
      </c>
      <c r="I60" s="143" t="str">
        <f t="array" ref="I60">IF(OR(FleetTableDistance[[#This Row],[Type]]="",C60="",E60=""),"",INDEX('Ffactorau Allyriadau'!$K$3:$V$212,MATCH('Adeiladau, Fflyd ac Offer '!$B60&amp;C60&amp;FleetTableDistance[[#This Row],[Size]],'Ffactorau Allyriadau'!$J$3:$J$212&amp;'Ffactorau Allyriadau'!$L$3:$L$212&amp;'Ffactorau Allyriadau'!$K$3:$K$212,0),MATCH('Adeiladau, Fflyd ac Offer '!$I$41,'Ffactorau Allyriadau'!$K$2:$V$2,0)))</f>
        <v/>
      </c>
      <c r="J60" s="208" t="str">
        <f>IF(OR(G60="",I60=""),"",SUM(FleetTableDistance[[#This Row],[Direct]:[Indirect WTT]]))</f>
        <v/>
      </c>
      <c r="K60" s="122"/>
      <c r="L60" s="209" t="str">
        <f t="array" ref="L60">IF(OR($C60="",$E60=""),"",(INDEX('Ffactorau Allyriadau'!$K$3:$V$379,MATCH(FleetTableDistance[[#This Row],[Type]]&amp;$C60&amp;$D60,'Ffactorau Allyriadau'!$J$3:$J$379&amp;'Ffactorau Allyriadau'!$L$3:$L$379&amp;'Ffactorau Allyriadau'!$K$3:$K$379,0),MATCH('Adeiladau, Fflyd ac Offer '!L$7,'Ffactorau Allyriadau'!$K$2:$V$2,0)))*$G60)</f>
        <v/>
      </c>
      <c r="M60" s="209" t="str">
        <f t="array" ref="M60">IF(OR($C60="",$E60=""),"",(INDEX('Ffactorau Allyriadau'!$K$3:$V$212,MATCH(FleetTableDistance[[#This Row],[Type]]&amp;$C60&amp;$D60,'Ffactorau Allyriadau'!$J$3:$J$212&amp;'Ffactorau Allyriadau'!$L$3:$L$212&amp;'Ffactorau Allyriadau'!$K$3:$K$212,0),MATCH('Adeiladau, Fflyd ac Offer '!M$7,'Ffactorau Allyriadau'!$K$2:$V$2,0)))*$G60)</f>
        <v/>
      </c>
      <c r="N60" s="209" t="str">
        <f t="array" ref="N60">IF(OR($C60="",$E60=""),"",(INDEX('Ffactorau Allyriadau'!$K$3:$V$212,MATCH(FleetTableDistance[[#This Row],[Type]]&amp;$C60&amp;$D60,'Ffactorau Allyriadau'!$J$3:$J$212&amp;'Ffactorau Allyriadau'!$L$3:$L$212&amp;'Ffactorau Allyriadau'!$K$3:$K$212,0),MATCH('Adeiladau, Fflyd ac Offer '!N$7,'Ffactorau Allyriadau'!$K$2:$V$2,0)))*$G60)</f>
        <v/>
      </c>
      <c r="O60" s="209" t="str">
        <f t="array" ref="O60">IF(OR($C60="",$E60=""),"",(INDEX('Ffactorau Allyriadau'!$K$3:$V$212,MATCH(FleetTableDistance[[#This Row],[Type]]&amp;$C60&amp;$D60,'Ffactorau Allyriadau'!$J$3:$J$212&amp;'Ffactorau Allyriadau'!$L$3:$L$212&amp;'Ffactorau Allyriadau'!$K$3:$K$212,0),MATCH('Adeiladau, Fflyd ac Offer '!O$7,'Ffactorau Allyriadau'!$K$2:$V$2,0)))*$G60)</f>
        <v/>
      </c>
      <c r="P60" s="209" t="str">
        <f t="array" ref="P60">IF(OR($C60="",$E60=""),"",(INDEX('Ffactorau Allyriadau'!$K$3:$V$212,MATCH(FleetTableDistance[[#This Row],[Type]]&amp;$C60&amp;$D60,'Ffactorau Allyriadau'!$J$3:$J$212&amp;'Ffactorau Allyriadau'!$L$3:$L$212&amp;'Ffactorau Allyriadau'!$K$3:$K$212,0),MATCH('Adeiladau, Fflyd ac Offer '!P$7,'Ffactorau Allyriadau'!$K$2:$V$2,0)))*$G60)</f>
        <v/>
      </c>
    </row>
    <row r="61" spans="1:22" s="1" customFormat="1" ht="15" thickBot="1" x14ac:dyDescent="0.4">
      <c r="A61" s="35"/>
      <c r="B61" s="126"/>
      <c r="C61" s="123"/>
      <c r="D61" s="123"/>
      <c r="E61" s="120"/>
      <c r="F61" s="123"/>
      <c r="G61" s="125" t="str">
        <f t="array" ref="G61">IF(OR($C61="",$B61="",$E61="",$F61=""),"",IF(F61=H61,E61,(INDEX('Ffactorau Allyriadau'!$K$3:$V$201,MATCH(B61&amp;D61,'Ffactorau Allyriadau'!$J$3:$J$201&amp;'Ffactorau Allyriadau'!$K$3:$K$201,0),MATCH(G$41,'Ffactorau Allyriadau'!$K$2:$V$2,0)))*E61))</f>
        <v/>
      </c>
      <c r="H61" s="29" t="str">
        <f>IF(OR($C61="",$B61="",$E61="",$F61=""),"",INDEX('Ffactorau Allyriadau'!$K$3:$V$212,MATCH('Adeiladau, Fflyd ac Offer '!$B61,'Ffactorau Allyriadau'!$J$3:$J$212,0),MATCH($H$55,'Ffactorau Allyriadau'!$K$2:$V$2,0)))</f>
        <v/>
      </c>
      <c r="I61" s="143" t="str">
        <f t="array" ref="I61">IF(OR(FleetTableDistance[[#This Row],[Type]]="",C61="",E61=""),"",INDEX('Ffactorau Allyriadau'!$K$3:$V$212,MATCH('Adeiladau, Fflyd ac Offer '!$B61&amp;C61&amp;FleetTableDistance[[#This Row],[Size]],'Ffactorau Allyriadau'!$J$3:$J$212&amp;'Ffactorau Allyriadau'!$L$3:$L$212&amp;'Ffactorau Allyriadau'!$K$3:$K$212,0),MATCH('Adeiladau, Fflyd ac Offer '!$I$41,'Ffactorau Allyriadau'!$K$2:$V$2,0)))</f>
        <v/>
      </c>
      <c r="J61" s="208" t="str">
        <f>IF(OR(G61="",I61=""),"",SUM(FleetTableDistance[[#This Row],[Direct]:[Indirect WTT]]))</f>
        <v/>
      </c>
      <c r="K61" s="122"/>
      <c r="L61" s="209" t="str">
        <f t="array" ref="L61">IF(OR($C61="",$E61=""),"",(INDEX('Ffactorau Allyriadau'!$K$3:$V$379,MATCH(FleetTableDistance[[#This Row],[Type]]&amp;$C61&amp;$D61,'Ffactorau Allyriadau'!$J$3:$J$379&amp;'Ffactorau Allyriadau'!$L$3:$L$379&amp;'Ffactorau Allyriadau'!$K$3:$K$379,0),MATCH('Adeiladau, Fflyd ac Offer '!L$7,'Ffactorau Allyriadau'!$K$2:$V$2,0)))*$G61)</f>
        <v/>
      </c>
      <c r="M61" s="209" t="str">
        <f t="array" ref="M61">IF(OR($C61="",$E61=""),"",(INDEX('Ffactorau Allyriadau'!$K$3:$V$212,MATCH(FleetTableDistance[[#This Row],[Type]]&amp;$C61&amp;$D61,'Ffactorau Allyriadau'!$J$3:$J$212&amp;'Ffactorau Allyriadau'!$L$3:$L$212&amp;'Ffactorau Allyriadau'!$K$3:$K$212,0),MATCH('Adeiladau, Fflyd ac Offer '!M$7,'Ffactorau Allyriadau'!$K$2:$V$2,0)))*$G61)</f>
        <v/>
      </c>
      <c r="N61" s="209" t="str">
        <f t="array" ref="N61">IF(OR($C61="",$E61=""),"",(INDEX('Ffactorau Allyriadau'!$K$3:$V$212,MATCH(FleetTableDistance[[#This Row],[Type]]&amp;$C61&amp;$D61,'Ffactorau Allyriadau'!$J$3:$J$212&amp;'Ffactorau Allyriadau'!$L$3:$L$212&amp;'Ffactorau Allyriadau'!$K$3:$K$212,0),MATCH('Adeiladau, Fflyd ac Offer '!N$7,'Ffactorau Allyriadau'!$K$2:$V$2,0)))*$G61)</f>
        <v/>
      </c>
      <c r="O61" s="209" t="str">
        <f t="array" ref="O61">IF(OR($C61="",$E61=""),"",(INDEX('Ffactorau Allyriadau'!$K$3:$V$212,MATCH(FleetTableDistance[[#This Row],[Type]]&amp;$C61&amp;$D61,'Ffactorau Allyriadau'!$J$3:$J$212&amp;'Ffactorau Allyriadau'!$L$3:$L$212&amp;'Ffactorau Allyriadau'!$K$3:$K$212,0),MATCH('Adeiladau, Fflyd ac Offer '!O$7,'Ffactorau Allyriadau'!$K$2:$V$2,0)))*$G61)</f>
        <v/>
      </c>
      <c r="P61" s="209" t="str">
        <f t="array" ref="P61">IF(OR($C61="",$E61=""),"",(INDEX('Ffactorau Allyriadau'!$K$3:$V$212,MATCH(FleetTableDistance[[#This Row],[Type]]&amp;$C61&amp;$D61,'Ffactorau Allyriadau'!$J$3:$J$212&amp;'Ffactorau Allyriadau'!$L$3:$L$212&amp;'Ffactorau Allyriadau'!$K$3:$K$212,0),MATCH('Adeiladau, Fflyd ac Offer '!P$7,'Ffactorau Allyriadau'!$K$2:$V$2,0)))*$G61)</f>
        <v/>
      </c>
    </row>
    <row r="62" spans="1:22" s="1" customFormat="1" ht="15" thickBot="1" x14ac:dyDescent="0.4">
      <c r="A62" s="35"/>
      <c r="B62" s="126"/>
      <c r="C62" s="123"/>
      <c r="D62" s="123"/>
      <c r="E62" s="120"/>
      <c r="F62" s="123"/>
      <c r="G62" s="125" t="str">
        <f t="array" ref="G62">IF(OR($C62="",$B62="",$E62="",$F62=""),"",IF(F62=H62,E62,(INDEX('Ffactorau Allyriadau'!$K$3:$V$201,MATCH(B62&amp;D62,'Ffactorau Allyriadau'!$J$3:$J$201&amp;'Ffactorau Allyriadau'!$K$3:$K$201,0),MATCH(G$41,'Ffactorau Allyriadau'!$K$2:$V$2,0)))*E62))</f>
        <v/>
      </c>
      <c r="H62" s="29" t="str">
        <f>IF(OR($C62="",$B62="",$E62="",$F62=""),"",INDEX('Ffactorau Allyriadau'!$K$3:$V$212,MATCH('Adeiladau, Fflyd ac Offer '!$B62,'Ffactorau Allyriadau'!$J$3:$J$212,0),MATCH($H$55,'Ffactorau Allyriadau'!$K$2:$V$2,0)))</f>
        <v/>
      </c>
      <c r="I62" s="143" t="str">
        <f t="array" ref="I62">IF(OR(FleetTableDistance[[#This Row],[Type]]="",C62="",E62=""),"",INDEX('Ffactorau Allyriadau'!$K$3:$V$212,MATCH('Adeiladau, Fflyd ac Offer '!$B62&amp;C62&amp;FleetTableDistance[[#This Row],[Size]],'Ffactorau Allyriadau'!$J$3:$J$212&amp;'Ffactorau Allyriadau'!$L$3:$L$212&amp;'Ffactorau Allyriadau'!$K$3:$K$212,0),MATCH('Adeiladau, Fflyd ac Offer '!$I$41,'Ffactorau Allyriadau'!$K$2:$V$2,0)))</f>
        <v/>
      </c>
      <c r="J62" s="208" t="str">
        <f>IF(OR(G62="",I62=""),"",SUM(FleetTableDistance[[#This Row],[Direct]:[Indirect WTT]]))</f>
        <v/>
      </c>
      <c r="K62" s="122"/>
      <c r="L62" s="209" t="str">
        <f t="array" ref="L62">IF(OR($C62="",$E62=""),"",(INDEX('Ffactorau Allyriadau'!$K$3:$V$379,MATCH(FleetTableDistance[[#This Row],[Type]]&amp;$C62&amp;$D62,'Ffactorau Allyriadau'!$J$3:$J$379&amp;'Ffactorau Allyriadau'!$L$3:$L$379&amp;'Ffactorau Allyriadau'!$K$3:$K$379,0),MATCH('Adeiladau, Fflyd ac Offer '!L$7,'Ffactorau Allyriadau'!$K$2:$V$2,0)))*$G62)</f>
        <v/>
      </c>
      <c r="M62" s="209" t="str">
        <f t="array" ref="M62">IF(OR($C62="",$E62=""),"",(INDEX('Ffactorau Allyriadau'!$K$3:$V$212,MATCH(FleetTableDistance[[#This Row],[Type]]&amp;$C62&amp;$D62,'Ffactorau Allyriadau'!$J$3:$J$212&amp;'Ffactorau Allyriadau'!$L$3:$L$212&amp;'Ffactorau Allyriadau'!$K$3:$K$212,0),MATCH('Adeiladau, Fflyd ac Offer '!M$7,'Ffactorau Allyriadau'!$K$2:$V$2,0)))*$G62)</f>
        <v/>
      </c>
      <c r="N62" s="209" t="str">
        <f t="array" ref="N62">IF(OR($C62="",$E62=""),"",(INDEX('Ffactorau Allyriadau'!$K$3:$V$212,MATCH(FleetTableDistance[[#This Row],[Type]]&amp;$C62&amp;$D62,'Ffactorau Allyriadau'!$J$3:$J$212&amp;'Ffactorau Allyriadau'!$L$3:$L$212&amp;'Ffactorau Allyriadau'!$K$3:$K$212,0),MATCH('Adeiladau, Fflyd ac Offer '!N$7,'Ffactorau Allyriadau'!$K$2:$V$2,0)))*$G62)</f>
        <v/>
      </c>
      <c r="O62" s="209" t="str">
        <f t="array" ref="O62">IF(OR($C62="",$E62=""),"",(INDEX('Ffactorau Allyriadau'!$K$3:$V$212,MATCH(FleetTableDistance[[#This Row],[Type]]&amp;$C62&amp;$D62,'Ffactorau Allyriadau'!$J$3:$J$212&amp;'Ffactorau Allyriadau'!$L$3:$L$212&amp;'Ffactorau Allyriadau'!$K$3:$K$212,0),MATCH('Adeiladau, Fflyd ac Offer '!O$7,'Ffactorau Allyriadau'!$K$2:$V$2,0)))*$G62)</f>
        <v/>
      </c>
      <c r="P62" s="209" t="str">
        <f t="array" ref="P62">IF(OR($C62="",$E62=""),"",(INDEX('Ffactorau Allyriadau'!$K$3:$V$212,MATCH(FleetTableDistance[[#This Row],[Type]]&amp;$C62&amp;$D62,'Ffactorau Allyriadau'!$J$3:$J$212&amp;'Ffactorau Allyriadau'!$L$3:$L$212&amp;'Ffactorau Allyriadau'!$K$3:$K$212,0),MATCH('Adeiladau, Fflyd ac Offer '!P$7,'Ffactorau Allyriadau'!$K$2:$V$2,0)))*$G62)</f>
        <v/>
      </c>
    </row>
    <row r="63" spans="1:22" s="1" customFormat="1" ht="15" thickBot="1" x14ac:dyDescent="0.4">
      <c r="A63" s="35"/>
      <c r="B63" s="126"/>
      <c r="C63" s="123"/>
      <c r="D63" s="123"/>
      <c r="E63" s="120"/>
      <c r="F63" s="123"/>
      <c r="G63" s="125" t="str">
        <f t="array" ref="G63">IF(OR($C63="",$B63="",$E63="",$F63=""),"",IF(F63=H63,E63,(INDEX('Ffactorau Allyriadau'!$K$3:$V$201,MATCH(B63&amp;D63,'Ffactorau Allyriadau'!$J$3:$J$201&amp;'Ffactorau Allyriadau'!$K$3:$K$201,0),MATCH(G$41,'Ffactorau Allyriadau'!$K$2:$V$2,0)))*E63))</f>
        <v/>
      </c>
      <c r="H63" s="29" t="str">
        <f>IF(OR($C63="",$B63="",$E63="",$F63=""),"",INDEX('Ffactorau Allyriadau'!$K$3:$V$212,MATCH('Adeiladau, Fflyd ac Offer '!$B63,'Ffactorau Allyriadau'!$J$3:$J$212,0),MATCH($H$55,'Ffactorau Allyriadau'!$K$2:$V$2,0)))</f>
        <v/>
      </c>
      <c r="I63" s="143" t="str">
        <f t="array" ref="I63">IF(OR(FleetTableDistance[[#This Row],[Type]]="",C63="",E63=""),"",INDEX('Ffactorau Allyriadau'!$K$3:$V$212,MATCH('Adeiladau, Fflyd ac Offer '!$B63&amp;C63&amp;FleetTableDistance[[#This Row],[Size]],'Ffactorau Allyriadau'!$J$3:$J$212&amp;'Ffactorau Allyriadau'!$L$3:$L$212&amp;'Ffactorau Allyriadau'!$K$3:$K$212,0),MATCH('Adeiladau, Fflyd ac Offer '!$I$41,'Ffactorau Allyriadau'!$K$2:$V$2,0)))</f>
        <v/>
      </c>
      <c r="J63" s="208" t="str">
        <f>IF(OR(G63="",I63=""),"",SUM(FleetTableDistance[[#This Row],[Direct]:[Indirect WTT]]))</f>
        <v/>
      </c>
      <c r="K63" s="122"/>
      <c r="L63" s="209" t="str">
        <f t="array" ref="L63">IF(OR($C63="",$E63=""),"",(INDEX('Ffactorau Allyriadau'!$K$3:$V$379,MATCH(FleetTableDistance[[#This Row],[Type]]&amp;$C63&amp;$D63,'Ffactorau Allyriadau'!$J$3:$J$379&amp;'Ffactorau Allyriadau'!$L$3:$L$379&amp;'Ffactorau Allyriadau'!$K$3:$K$379,0),MATCH('Adeiladau, Fflyd ac Offer '!L$7,'Ffactorau Allyriadau'!$K$2:$V$2,0)))*$G63)</f>
        <v/>
      </c>
      <c r="M63" s="209" t="str">
        <f t="array" ref="M63">IF(OR($C63="",$E63=""),"",(INDEX('Ffactorau Allyriadau'!$K$3:$V$212,MATCH(FleetTableDistance[[#This Row],[Type]]&amp;$C63&amp;$D63,'Ffactorau Allyriadau'!$J$3:$J$212&amp;'Ffactorau Allyriadau'!$L$3:$L$212&amp;'Ffactorau Allyriadau'!$K$3:$K$212,0),MATCH('Adeiladau, Fflyd ac Offer '!M$7,'Ffactorau Allyriadau'!$K$2:$V$2,0)))*$G63)</f>
        <v/>
      </c>
      <c r="N63" s="209" t="str">
        <f t="array" ref="N63">IF(OR($C63="",$E63=""),"",(INDEX('Ffactorau Allyriadau'!$K$3:$V$212,MATCH(FleetTableDistance[[#This Row],[Type]]&amp;$C63&amp;$D63,'Ffactorau Allyriadau'!$J$3:$J$212&amp;'Ffactorau Allyriadau'!$L$3:$L$212&amp;'Ffactorau Allyriadau'!$K$3:$K$212,0),MATCH('Adeiladau, Fflyd ac Offer '!N$7,'Ffactorau Allyriadau'!$K$2:$V$2,0)))*$G63)</f>
        <v/>
      </c>
      <c r="O63" s="209" t="str">
        <f t="array" ref="O63">IF(OR($C63="",$E63=""),"",(INDEX('Ffactorau Allyriadau'!$K$3:$V$212,MATCH(FleetTableDistance[[#This Row],[Type]]&amp;$C63&amp;$D63,'Ffactorau Allyriadau'!$J$3:$J$212&amp;'Ffactorau Allyriadau'!$L$3:$L$212&amp;'Ffactorau Allyriadau'!$K$3:$K$212,0),MATCH('Adeiladau, Fflyd ac Offer '!O$7,'Ffactorau Allyriadau'!$K$2:$V$2,0)))*$G63)</f>
        <v/>
      </c>
      <c r="P63" s="209" t="str">
        <f t="array" ref="P63">IF(OR($C63="",$E63=""),"",(INDEX('Ffactorau Allyriadau'!$K$3:$V$212,MATCH(FleetTableDistance[[#This Row],[Type]]&amp;$C63&amp;$D63,'Ffactorau Allyriadau'!$J$3:$J$212&amp;'Ffactorau Allyriadau'!$L$3:$L$212&amp;'Ffactorau Allyriadau'!$K$3:$K$212,0),MATCH('Adeiladau, Fflyd ac Offer '!P$7,'Ffactorau Allyriadau'!$K$2:$V$2,0)))*$G63)</f>
        <v/>
      </c>
    </row>
    <row r="64" spans="1:22" s="1" customFormat="1" ht="15" thickBot="1" x14ac:dyDescent="0.4">
      <c r="A64" s="35"/>
      <c r="B64" s="126"/>
      <c r="C64" s="123"/>
      <c r="D64" s="123"/>
      <c r="E64" s="120"/>
      <c r="F64" s="123"/>
      <c r="G64" s="125" t="str">
        <f t="array" ref="G64">IF(OR($C64="",$B64="",$E64="",$F64=""),"",IF(F64=H64,E64,(INDEX('Ffactorau Allyriadau'!$K$3:$V$201,MATCH(B64&amp;D64,'Ffactorau Allyriadau'!$J$3:$J$201&amp;'Ffactorau Allyriadau'!$K$3:$K$201,0),MATCH(G$41,'Ffactorau Allyriadau'!$K$2:$V$2,0)))*E64))</f>
        <v/>
      </c>
      <c r="H64" s="29" t="str">
        <f>IF(OR($C64="",$B64="",$E64="",$F64=""),"",INDEX('Ffactorau Allyriadau'!$K$3:$V$212,MATCH('Adeiladau, Fflyd ac Offer '!$B64,'Ffactorau Allyriadau'!$J$3:$J$212,0),MATCH($H$55,'Ffactorau Allyriadau'!$K$2:$V$2,0)))</f>
        <v/>
      </c>
      <c r="I64" s="143" t="str">
        <f t="array" ref="I64">IF(OR(FleetTableDistance[[#This Row],[Type]]="",C64="",E64=""),"",INDEX('Ffactorau Allyriadau'!$K$3:$V$212,MATCH('Adeiladau, Fflyd ac Offer '!$B64&amp;C64&amp;FleetTableDistance[[#This Row],[Size]],'Ffactorau Allyriadau'!$J$3:$J$212&amp;'Ffactorau Allyriadau'!$L$3:$L$212&amp;'Ffactorau Allyriadau'!$K$3:$K$212,0),MATCH('Adeiladau, Fflyd ac Offer '!$I$41,'Ffactorau Allyriadau'!$K$2:$V$2,0)))</f>
        <v/>
      </c>
      <c r="J64" s="208" t="str">
        <f>IF(OR(G64="",I64=""),"",SUM(FleetTableDistance[[#This Row],[Direct]:[Indirect WTT]]))</f>
        <v/>
      </c>
      <c r="K64" s="122"/>
      <c r="L64" s="209" t="str">
        <f t="array" ref="L64">IF(OR($C64="",$E64=""),"",(INDEX('Ffactorau Allyriadau'!$K$3:$V$379,MATCH(FleetTableDistance[[#This Row],[Type]]&amp;$C64&amp;$D64,'Ffactorau Allyriadau'!$J$3:$J$379&amp;'Ffactorau Allyriadau'!$L$3:$L$379&amp;'Ffactorau Allyriadau'!$K$3:$K$379,0),MATCH('Adeiladau, Fflyd ac Offer '!L$7,'Ffactorau Allyriadau'!$K$2:$V$2,0)))*$G64)</f>
        <v/>
      </c>
      <c r="M64" s="209" t="str">
        <f t="array" ref="M64">IF(OR($C64="",$E64=""),"",(INDEX('Ffactorau Allyriadau'!$K$3:$V$212,MATCH(FleetTableDistance[[#This Row],[Type]]&amp;$C64&amp;$D64,'Ffactorau Allyriadau'!$J$3:$J$212&amp;'Ffactorau Allyriadau'!$L$3:$L$212&amp;'Ffactorau Allyriadau'!$K$3:$K$212,0),MATCH('Adeiladau, Fflyd ac Offer '!M$7,'Ffactorau Allyriadau'!$K$2:$V$2,0)))*$G64)</f>
        <v/>
      </c>
      <c r="N64" s="209" t="str">
        <f t="array" ref="N64">IF(OR($C64="",$E64=""),"",(INDEX('Ffactorau Allyriadau'!$K$3:$V$212,MATCH(FleetTableDistance[[#This Row],[Type]]&amp;$C64&amp;$D64,'Ffactorau Allyriadau'!$J$3:$J$212&amp;'Ffactorau Allyriadau'!$L$3:$L$212&amp;'Ffactorau Allyriadau'!$K$3:$K$212,0),MATCH('Adeiladau, Fflyd ac Offer '!N$7,'Ffactorau Allyriadau'!$K$2:$V$2,0)))*$G64)</f>
        <v/>
      </c>
      <c r="O64" s="209" t="str">
        <f t="array" ref="O64">IF(OR($C64="",$E64=""),"",(INDEX('Ffactorau Allyriadau'!$K$3:$V$212,MATCH(FleetTableDistance[[#This Row],[Type]]&amp;$C64&amp;$D64,'Ffactorau Allyriadau'!$J$3:$J$212&amp;'Ffactorau Allyriadau'!$L$3:$L$212&amp;'Ffactorau Allyriadau'!$K$3:$K$212,0),MATCH('Adeiladau, Fflyd ac Offer '!O$7,'Ffactorau Allyriadau'!$K$2:$V$2,0)))*$G64)</f>
        <v/>
      </c>
      <c r="P64" s="209" t="str">
        <f t="array" ref="P64">IF(OR($C64="",$E64=""),"",(INDEX('Ffactorau Allyriadau'!$K$3:$V$212,MATCH(FleetTableDistance[[#This Row],[Type]]&amp;$C64&amp;$D64,'Ffactorau Allyriadau'!$J$3:$J$212&amp;'Ffactorau Allyriadau'!$L$3:$L$212&amp;'Ffactorau Allyriadau'!$K$3:$K$212,0),MATCH('Adeiladau, Fflyd ac Offer '!P$7,'Ffactorau Allyriadau'!$K$2:$V$2,0)))*$G64)</f>
        <v/>
      </c>
    </row>
    <row r="65" spans="1:22" s="1" customFormat="1" ht="15" thickBot="1" x14ac:dyDescent="0.4">
      <c r="A65" s="35"/>
      <c r="B65" s="126"/>
      <c r="C65" s="123"/>
      <c r="D65" s="123"/>
      <c r="E65" s="120"/>
      <c r="F65" s="123"/>
      <c r="G65" s="125" t="str">
        <f t="array" ref="G65">IF(OR($C65="",$B65="",$E65="",$F65=""),"",IF(F65=H65,E65,(INDEX('Ffactorau Allyriadau'!$K$3:$V$201,MATCH(B65&amp;D65,'Ffactorau Allyriadau'!$J$3:$J$201&amp;'Ffactorau Allyriadau'!$K$3:$K$201,0),MATCH(G$41,'Ffactorau Allyriadau'!$K$2:$V$2,0)))*E65))</f>
        <v/>
      </c>
      <c r="H65" s="29" t="str">
        <f>IF(OR($C65="",$B65="",$E65="",$F65=""),"",INDEX('Ffactorau Allyriadau'!$K$3:$V$212,MATCH('Adeiladau, Fflyd ac Offer '!$B65,'Ffactorau Allyriadau'!$J$3:$J$212,0),MATCH($H$55,'Ffactorau Allyriadau'!$K$2:$V$2,0)))</f>
        <v/>
      </c>
      <c r="I65" s="143" t="str">
        <f t="array" ref="I65">IF(OR(FleetTableDistance[[#This Row],[Type]]="",C65="",E65=""),"",INDEX('Ffactorau Allyriadau'!$K$3:$V$212,MATCH('Adeiladau, Fflyd ac Offer '!$B65&amp;C65&amp;FleetTableDistance[[#This Row],[Size]],'Ffactorau Allyriadau'!$J$3:$J$212&amp;'Ffactorau Allyriadau'!$L$3:$L$212&amp;'Ffactorau Allyriadau'!$K$3:$K$212,0),MATCH('Adeiladau, Fflyd ac Offer '!$I$41,'Ffactorau Allyriadau'!$K$2:$V$2,0)))</f>
        <v/>
      </c>
      <c r="J65" s="208" t="str">
        <f>IF(OR(G65="",I65=""),"",SUM(FleetTableDistance[[#This Row],[Direct]:[Indirect WTT]]))</f>
        <v/>
      </c>
      <c r="K65" s="122"/>
      <c r="L65" s="209" t="str">
        <f t="array" ref="L65">IF(OR($C65="",$E65=""),"",(INDEX('Ffactorau Allyriadau'!$K$3:$V$379,MATCH(FleetTableDistance[[#This Row],[Type]]&amp;$C65&amp;$D65,'Ffactorau Allyriadau'!$J$3:$J$379&amp;'Ffactorau Allyriadau'!$L$3:$L$379&amp;'Ffactorau Allyriadau'!$K$3:$K$379,0),MATCH('Adeiladau, Fflyd ac Offer '!L$7,'Ffactorau Allyriadau'!$K$2:$V$2,0)))*$G65)</f>
        <v/>
      </c>
      <c r="M65" s="209" t="str">
        <f t="array" ref="M65">IF(OR($C65="",$E65=""),"",(INDEX('Ffactorau Allyriadau'!$K$3:$V$212,MATCH(FleetTableDistance[[#This Row],[Type]]&amp;$C65&amp;$D65,'Ffactorau Allyriadau'!$J$3:$J$212&amp;'Ffactorau Allyriadau'!$L$3:$L$212&amp;'Ffactorau Allyriadau'!$K$3:$K$212,0),MATCH('Adeiladau, Fflyd ac Offer '!M$7,'Ffactorau Allyriadau'!$K$2:$V$2,0)))*$G65)</f>
        <v/>
      </c>
      <c r="N65" s="209" t="str">
        <f t="array" ref="N65">IF(OR($C65="",$E65=""),"",(INDEX('Ffactorau Allyriadau'!$K$3:$V$212,MATCH(FleetTableDistance[[#This Row],[Type]]&amp;$C65&amp;$D65,'Ffactorau Allyriadau'!$J$3:$J$212&amp;'Ffactorau Allyriadau'!$L$3:$L$212&amp;'Ffactorau Allyriadau'!$K$3:$K$212,0),MATCH('Adeiladau, Fflyd ac Offer '!N$7,'Ffactorau Allyriadau'!$K$2:$V$2,0)))*$G65)</f>
        <v/>
      </c>
      <c r="O65" s="209" t="str">
        <f t="array" ref="O65">IF(OR($C65="",$E65=""),"",(INDEX('Ffactorau Allyriadau'!$K$3:$V$212,MATCH(FleetTableDistance[[#This Row],[Type]]&amp;$C65&amp;$D65,'Ffactorau Allyriadau'!$J$3:$J$212&amp;'Ffactorau Allyriadau'!$L$3:$L$212&amp;'Ffactorau Allyriadau'!$K$3:$K$212,0),MATCH('Adeiladau, Fflyd ac Offer '!O$7,'Ffactorau Allyriadau'!$K$2:$V$2,0)))*$G65)</f>
        <v/>
      </c>
      <c r="P65" s="209" t="str">
        <f t="array" ref="P65">IF(OR($C65="",$E65=""),"",(INDEX('Ffactorau Allyriadau'!$K$3:$V$212,MATCH(FleetTableDistance[[#This Row],[Type]]&amp;$C65&amp;$D65,'Ffactorau Allyriadau'!$J$3:$J$212&amp;'Ffactorau Allyriadau'!$L$3:$L$212&amp;'Ffactorau Allyriadau'!$K$3:$K$212,0),MATCH('Adeiladau, Fflyd ac Offer '!P$7,'Ffactorau Allyriadau'!$K$2:$V$2,0)))*$G65)</f>
        <v/>
      </c>
    </row>
    <row r="66" spans="1:22" s="1" customFormat="1" ht="15" thickBot="1" x14ac:dyDescent="0.4">
      <c r="A66" s="35"/>
      <c r="B66" s="126"/>
      <c r="C66" s="123"/>
      <c r="D66" s="123"/>
      <c r="E66" s="120"/>
      <c r="F66" s="123"/>
      <c r="G66" s="125" t="str">
        <f t="array" ref="G66">IF(OR($C66="",$B66="",$E66="",$F66=""),"",IF(F66=H66,E66,(INDEX('Ffactorau Allyriadau'!$K$3:$V$201,MATCH(B66&amp;D66,'Ffactorau Allyriadau'!$J$3:$J$201&amp;'Ffactorau Allyriadau'!$K$3:$K$201,0),MATCH(G$41,'Ffactorau Allyriadau'!$K$2:$V$2,0)))*E66))</f>
        <v/>
      </c>
      <c r="H66" s="29" t="str">
        <f>IF(OR($C66="",$B66="",$E66="",$F66=""),"",INDEX('Ffactorau Allyriadau'!$K$3:$V$212,MATCH('Adeiladau, Fflyd ac Offer '!$B66,'Ffactorau Allyriadau'!$J$3:$J$212,0),MATCH($H$55,'Ffactorau Allyriadau'!$K$2:$V$2,0)))</f>
        <v/>
      </c>
      <c r="I66" s="143" t="str">
        <f t="array" ref="I66">IF(OR(FleetTableDistance[[#This Row],[Type]]="",C66="",E66=""),"",INDEX('Ffactorau Allyriadau'!$K$3:$V$212,MATCH('Adeiladau, Fflyd ac Offer '!$B66&amp;C66&amp;FleetTableDistance[[#This Row],[Size]],'Ffactorau Allyriadau'!$J$3:$J$212&amp;'Ffactorau Allyriadau'!$L$3:$L$212&amp;'Ffactorau Allyriadau'!$K$3:$K$212,0),MATCH('Adeiladau, Fflyd ac Offer '!$I$41,'Ffactorau Allyriadau'!$K$2:$V$2,0)))</f>
        <v/>
      </c>
      <c r="J66" s="208" t="str">
        <f>IF(OR(G66="",I66=""),"",SUM(FleetTableDistance[[#This Row],[Direct]:[Indirect WTT]]))</f>
        <v/>
      </c>
      <c r="K66" s="122"/>
      <c r="L66" s="209" t="str">
        <f t="array" ref="L66">IF(OR($C66="",$E66=""),"",(INDEX('Ffactorau Allyriadau'!$K$3:$V$379,MATCH(FleetTableDistance[[#This Row],[Type]]&amp;$C66&amp;$D66,'Ffactorau Allyriadau'!$J$3:$J$379&amp;'Ffactorau Allyriadau'!$L$3:$L$379&amp;'Ffactorau Allyriadau'!$K$3:$K$379,0),MATCH('Adeiladau, Fflyd ac Offer '!L$7,'Ffactorau Allyriadau'!$K$2:$V$2,0)))*$G66)</f>
        <v/>
      </c>
      <c r="M66" s="209" t="str">
        <f t="array" ref="M66">IF(OR($C66="",$E66=""),"",(INDEX('Ffactorau Allyriadau'!$K$3:$V$212,MATCH(FleetTableDistance[[#This Row],[Type]]&amp;$C66&amp;$D66,'Ffactorau Allyriadau'!$J$3:$J$212&amp;'Ffactorau Allyriadau'!$L$3:$L$212&amp;'Ffactorau Allyriadau'!$K$3:$K$212,0),MATCH('Adeiladau, Fflyd ac Offer '!M$7,'Ffactorau Allyriadau'!$K$2:$V$2,0)))*$G66)</f>
        <v/>
      </c>
      <c r="N66" s="209" t="str">
        <f t="array" ref="N66">IF(OR($C66="",$E66=""),"",(INDEX('Ffactorau Allyriadau'!$K$3:$V$212,MATCH(FleetTableDistance[[#This Row],[Type]]&amp;$C66&amp;$D66,'Ffactorau Allyriadau'!$J$3:$J$212&amp;'Ffactorau Allyriadau'!$L$3:$L$212&amp;'Ffactorau Allyriadau'!$K$3:$K$212,0),MATCH('Adeiladau, Fflyd ac Offer '!N$7,'Ffactorau Allyriadau'!$K$2:$V$2,0)))*$G66)</f>
        <v/>
      </c>
      <c r="O66" s="209" t="str">
        <f t="array" ref="O66">IF(OR($C66="",$E66=""),"",(INDEX('Ffactorau Allyriadau'!$K$3:$V$212,MATCH(FleetTableDistance[[#This Row],[Type]]&amp;$C66&amp;$D66,'Ffactorau Allyriadau'!$J$3:$J$212&amp;'Ffactorau Allyriadau'!$L$3:$L$212&amp;'Ffactorau Allyriadau'!$K$3:$K$212,0),MATCH('Adeiladau, Fflyd ac Offer '!O$7,'Ffactorau Allyriadau'!$K$2:$V$2,0)))*$G66)</f>
        <v/>
      </c>
      <c r="P66" s="209" t="str">
        <f t="array" ref="P66">IF(OR($C66="",$E66=""),"",(INDEX('Ffactorau Allyriadau'!$K$3:$V$212,MATCH(FleetTableDistance[[#This Row],[Type]]&amp;$C66&amp;$D66,'Ffactorau Allyriadau'!$J$3:$J$212&amp;'Ffactorau Allyriadau'!$L$3:$L$212&amp;'Ffactorau Allyriadau'!$K$3:$K$212,0),MATCH('Adeiladau, Fflyd ac Offer '!P$7,'Ffactorau Allyriadau'!$K$2:$V$2,0)))*$G66)</f>
        <v/>
      </c>
    </row>
    <row r="67" spans="1:22" s="1" customFormat="1" x14ac:dyDescent="0.35">
      <c r="A67" s="44"/>
      <c r="B67" s="46"/>
      <c r="C67" s="46"/>
      <c r="D67" s="46"/>
      <c r="E67" s="27"/>
      <c r="F67" s="27"/>
      <c r="G67" s="27"/>
      <c r="H67" s="27"/>
      <c r="I67" s="27"/>
      <c r="J67" s="27"/>
      <c r="K67" s="27"/>
      <c r="L67" s="27"/>
      <c r="M67" s="27"/>
      <c r="N67" s="27"/>
      <c r="O67" s="27"/>
      <c r="P67" s="27"/>
      <c r="Q67" s="27"/>
      <c r="R67" s="27"/>
      <c r="S67" s="27"/>
      <c r="T67" s="27"/>
      <c r="U67" s="214"/>
      <c r="V67" s="108"/>
    </row>
    <row r="68" spans="1:22" s="1" customFormat="1" x14ac:dyDescent="0.35">
      <c r="A68" s="35"/>
      <c r="B68" s="27"/>
      <c r="C68" s="27"/>
      <c r="D68" s="27"/>
      <c r="E68" s="27"/>
      <c r="F68" s="27"/>
      <c r="G68" s="27"/>
      <c r="H68" s="27"/>
      <c r="I68" s="27"/>
      <c r="J68" s="27"/>
      <c r="K68" s="27"/>
      <c r="L68" s="27"/>
      <c r="M68" s="27"/>
      <c r="N68" s="27"/>
      <c r="O68" s="27"/>
      <c r="P68" s="27"/>
      <c r="Q68" s="27"/>
      <c r="R68" s="27"/>
      <c r="S68" s="27"/>
      <c r="T68" s="27"/>
      <c r="U68" s="214"/>
      <c r="V68" s="108"/>
    </row>
    <row r="69" spans="1:22" x14ac:dyDescent="0.35">
      <c r="U69" s="216"/>
      <c r="V69" s="213"/>
    </row>
    <row r="70" spans="1:22" s="1" customFormat="1" x14ac:dyDescent="0.35">
      <c r="A70" s="35"/>
      <c r="B70" s="27"/>
      <c r="C70" s="27"/>
      <c r="D70" s="27"/>
      <c r="E70" s="27"/>
      <c r="F70" s="27"/>
      <c r="G70" s="27"/>
      <c r="H70" s="27"/>
      <c r="I70" s="27"/>
      <c r="J70" s="27"/>
      <c r="K70" s="27"/>
      <c r="L70" s="27"/>
      <c r="M70" s="27"/>
      <c r="N70" s="27"/>
      <c r="O70" s="27"/>
      <c r="P70" s="27"/>
      <c r="Q70" s="27"/>
      <c r="R70" s="27"/>
      <c r="S70" s="27"/>
      <c r="T70" s="27"/>
      <c r="U70" s="27"/>
      <c r="V70" s="27"/>
    </row>
  </sheetData>
  <mergeCells count="7">
    <mergeCell ref="Q1:R1"/>
    <mergeCell ref="Q2:R2"/>
    <mergeCell ref="B2:M2"/>
    <mergeCell ref="B3:M3"/>
    <mergeCell ref="B4:M4"/>
    <mergeCell ref="O2:P2"/>
    <mergeCell ref="O1:P1"/>
  </mergeCells>
  <conditionalFormatting sqref="B4:B5">
    <cfRule type="expression" dxfId="24" priority="3">
      <formula>ISERROR($L4)</formula>
    </cfRule>
  </conditionalFormatting>
  <conditionalFormatting sqref="B7:D37 B41:D52 B55:D66">
    <cfRule type="expression" dxfId="23" priority="26">
      <formula>ISERROR($J7)</formula>
    </cfRule>
  </conditionalFormatting>
  <conditionalFormatting sqref="B1:E3 B54:E54 B68:E120">
    <cfRule type="expression" dxfId="22" priority="24">
      <formula>ISERROR($L1)</formula>
    </cfRule>
  </conditionalFormatting>
  <conditionalFormatting sqref="B38:E39">
    <cfRule type="expression" dxfId="21" priority="4">
      <formula>ISERROR($L38)</formula>
    </cfRule>
  </conditionalFormatting>
  <conditionalFormatting sqref="B53:E53">
    <cfRule type="expression" dxfId="20" priority="10">
      <formula>ISERROR($L53)</formula>
    </cfRule>
  </conditionalFormatting>
  <conditionalFormatting sqref="B67:E67">
    <cfRule type="expression" dxfId="19" priority="13">
      <formula>ISERROR($L67)</formula>
    </cfRule>
  </conditionalFormatting>
  <conditionalFormatting sqref="I1:I3 I6 G7:G37 I38:I40 G41:G52 I53:I54 G55:G66 I67:I1048576">
    <cfRule type="cellIs" dxfId="18" priority="19" operator="equal">
      <formula>"There is an error in this table, see highlighted row(s)"</formula>
    </cfRule>
    <cfRule type="cellIs" dxfId="17" priority="22" operator="equal">
      <formula>"No errors in this table"</formula>
    </cfRule>
  </conditionalFormatting>
  <dataValidations count="12">
    <dataValidation type="list" allowBlank="1" showInputMessage="1" showErrorMessage="1" sqref="B56:B66" xr:uid="{00000000-0002-0000-0200-000000000000}">
      <formula1>INDIRECT(SUBSTITUTE($B$54," - ",""))</formula1>
    </dataValidation>
    <dataValidation type="decimal" operator="greaterThan" allowBlank="1" showInputMessage="1" showErrorMessage="1" errorTitle="Numeric data" error="Please enter a number greater than zero" sqref="E57:E66 E8:E37 E42:E52" xr:uid="{00000000-0002-0000-0200-000001000000}">
      <formula1>0</formula1>
    </dataValidation>
    <dataValidation type="list" allowBlank="1" showInputMessage="1" showErrorMessage="1" sqref="C42:C52" xr:uid="{00000000-0002-0000-0200-000002000000}">
      <formula1>INDIRECT(CONCATENATE(SUBSTITUTE(B42," ","")&amp;$C$41))</formula1>
    </dataValidation>
    <dataValidation type="list" allowBlank="1" showInputMessage="1" showErrorMessage="1" sqref="D42:D52" xr:uid="{00000000-0002-0000-0200-000003000000}">
      <formula1>INDIRECT(CONCATENATE(SUBSTITUTE($C42," ","")&amp;SUBSTITUTE($D$41," ","")))</formula1>
    </dataValidation>
    <dataValidation type="list" allowBlank="1" showInputMessage="1" showErrorMessage="1" sqref="B42:B52" xr:uid="{00000000-0002-0000-0200-000004000000}">
      <formula1>INDIRECT(SUBSTITUTE(SUBSTITUTE($B$40," - ","")," ",""))</formula1>
    </dataValidation>
    <dataValidation type="list" allowBlank="1" showInputMessage="1" showErrorMessage="1" sqref="F42:F52" xr:uid="{00000000-0002-0000-0200-000005000000}">
      <formula1>INDIRECT(CONCATENATE(SUBSTITUTE($C42," ","")&amp;$F$41))</formula1>
    </dataValidation>
    <dataValidation type="list" allowBlank="1" showInputMessage="1" showErrorMessage="1" sqref="C56:C66" xr:uid="{00000000-0002-0000-0200-000006000000}">
      <formula1>INDIRECT(CONCATENATE(SUBSTITUTE(B56," ","")&amp;$D$55&amp;$C$55))</formula1>
    </dataValidation>
    <dataValidation type="list" allowBlank="1" showInputMessage="1" showErrorMessage="1" sqref="D56:D66" xr:uid="{00000000-0002-0000-0200-000007000000}">
      <formula1>INDIRECT(CONCATENATE(SUBSTITUTE($B56," ","")&amp;$D$55))</formula1>
    </dataValidation>
    <dataValidation type="list" allowBlank="1" showInputMessage="1" showErrorMessage="1" sqref="F56:F66" xr:uid="{00000000-0002-0000-0200-000008000000}">
      <formula1>INDIRECT(CONCATENATE(SUBSTITUTE($B56," ","")&amp;$F$55))</formula1>
    </dataValidation>
    <dataValidation type="list" allowBlank="1" showInputMessage="1" showErrorMessage="1" sqref="F8:F37" xr:uid="{00000000-0002-0000-0200-000009000000}">
      <formula1>INDIRECT(CONCATENATE(SUBSTITUTE($C8," ","")&amp;$F$7))</formula1>
    </dataValidation>
    <dataValidation type="list" allowBlank="1" showInputMessage="1" showErrorMessage="1" sqref="C8:C37" xr:uid="{00000000-0002-0000-0200-00000A000000}">
      <formula1>INDIRECT(SUBSTITUTE(LEFT($B8,9)," ",""))</formula1>
    </dataValidation>
    <dataValidation type="list" allowBlank="1" showInputMessage="1" showErrorMessage="1" sqref="D8:D37" xr:uid="{00000000-0002-0000-0200-00000B000000}">
      <formula1>INDIRECT(CONCATENATE(SUBSTITUTE($C8," ","")&amp;SUBSTITUTE($D$7," ","")))</formula1>
    </dataValidation>
  </dataValidations>
  <pageMargins left="0.7" right="0.7" top="0.75" bottom="0.75" header="0.3" footer="0.3"/>
  <pageSetup paperSize="8" scale="49" fitToHeight="0" orientation="landscape" r:id="rId1"/>
  <headerFooter alignWithMargins="0"/>
  <tableParts count="3">
    <tablePart r:id="rId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C000000}">
          <x14:formula1>
            <xm:f>Lists!$O$4</xm:f>
          </x14:formula1>
          <xm:sqref>B8:B37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27CCF9"/>
    <pageSetUpPr fitToPage="1"/>
  </sheetPr>
  <dimension ref="A1:V51"/>
  <sheetViews>
    <sheetView topLeftCell="A3" workbookViewId="0">
      <selection activeCell="B4" sqref="B4:M4"/>
    </sheetView>
  </sheetViews>
  <sheetFormatPr defaultColWidth="8.54296875" defaultRowHeight="14.5" x14ac:dyDescent="0.35"/>
  <cols>
    <col min="1" max="1" width="2.1796875" style="1" customWidth="1"/>
    <col min="2" max="2" width="20.453125" style="1" customWidth="1"/>
    <col min="3" max="3" width="18.453125" style="1" customWidth="1"/>
    <col min="4" max="4" width="20.1796875" style="1" customWidth="1"/>
    <col min="5" max="5" width="22.81640625" style="1" customWidth="1"/>
    <col min="6" max="6" width="15.453125" style="1" customWidth="1"/>
    <col min="7" max="7" width="11.453125" style="1" customWidth="1"/>
    <col min="8" max="8" width="15.453125" style="1" customWidth="1"/>
    <col min="9" max="9" width="19.54296875" style="1" customWidth="1"/>
    <col min="10" max="10" width="19" style="1" customWidth="1"/>
    <col min="11" max="11" width="22.1796875" style="1" customWidth="1"/>
    <col min="12" max="12" width="19.54296875" style="1" customWidth="1"/>
    <col min="13" max="13" width="15.453125" style="1" customWidth="1"/>
    <col min="14" max="14" width="22.453125" style="1" customWidth="1"/>
    <col min="15" max="15" width="17.1796875" style="1" customWidth="1"/>
    <col min="16" max="16" width="22.453125" style="1" customWidth="1"/>
    <col min="17" max="17" width="17.1796875" style="1" customWidth="1"/>
    <col min="18" max="18" width="14.54296875" style="1" customWidth="1"/>
    <col min="19" max="22" width="17.1796875" style="1" customWidth="1"/>
    <col min="23" max="23" width="8.54296875" style="1" customWidth="1"/>
    <col min="24" max="16384" width="8.54296875" style="1"/>
  </cols>
  <sheetData>
    <row r="1" spans="1:20" ht="15" thickBot="1" x14ac:dyDescent="0.4">
      <c r="N1" s="141" t="s">
        <v>1025</v>
      </c>
      <c r="O1" s="328" t="s">
        <v>1026</v>
      </c>
      <c r="P1" s="329"/>
      <c r="Q1" s="315" t="s">
        <v>1027</v>
      </c>
      <c r="R1" s="316"/>
    </row>
    <row r="2" spans="1:20" ht="19" thickBot="1" x14ac:dyDescent="0.4">
      <c r="B2" s="333" t="s">
        <v>1042</v>
      </c>
      <c r="C2" s="334"/>
      <c r="D2" s="334"/>
      <c r="E2" s="334"/>
      <c r="F2" s="334"/>
      <c r="G2" s="334"/>
      <c r="H2" s="334"/>
      <c r="I2" s="334"/>
      <c r="J2" s="334"/>
      <c r="K2" s="334"/>
      <c r="L2" s="334"/>
      <c r="M2" s="334"/>
      <c r="N2" s="26"/>
      <c r="O2" s="326" t="s">
        <v>1028</v>
      </c>
      <c r="P2" s="327"/>
      <c r="Q2" s="317" t="s">
        <v>1029</v>
      </c>
      <c r="R2" s="318"/>
    </row>
    <row r="3" spans="1:20" ht="59.25" customHeight="1" thickBot="1" x14ac:dyDescent="0.4">
      <c r="B3" s="335" t="s">
        <v>1043</v>
      </c>
      <c r="C3" s="336"/>
      <c r="D3" s="336"/>
      <c r="E3" s="336"/>
      <c r="F3" s="336"/>
      <c r="G3" s="336"/>
      <c r="H3" s="336"/>
      <c r="I3" s="336"/>
      <c r="J3" s="336"/>
      <c r="K3" s="336"/>
      <c r="L3" s="336"/>
      <c r="M3" s="337"/>
      <c r="N3" s="130"/>
    </row>
    <row r="4" spans="1:20" ht="116.25" customHeight="1" x14ac:dyDescent="0.35">
      <c r="B4" s="325" t="s">
        <v>1056</v>
      </c>
      <c r="C4" s="323"/>
      <c r="D4" s="323"/>
      <c r="E4" s="323"/>
      <c r="F4" s="323"/>
      <c r="G4" s="323"/>
      <c r="H4" s="323"/>
      <c r="I4" s="323"/>
      <c r="J4" s="323"/>
      <c r="K4" s="323"/>
      <c r="L4" s="323"/>
      <c r="M4" s="323"/>
    </row>
    <row r="5" spans="1:20" ht="25.75" customHeight="1" x14ac:dyDescent="0.35">
      <c r="B5" s="330" t="s">
        <v>94</v>
      </c>
      <c r="C5" s="331"/>
      <c r="D5" s="331"/>
      <c r="E5" s="331"/>
      <c r="F5" s="331"/>
      <c r="G5" s="331"/>
      <c r="H5" s="331"/>
      <c r="I5" s="331"/>
      <c r="J5" s="331"/>
      <c r="K5" s="331"/>
      <c r="L5" s="331"/>
      <c r="M5" s="331"/>
      <c r="N5" s="332"/>
    </row>
    <row r="6" spans="1:20" ht="19" thickBot="1" x14ac:dyDescent="0.4">
      <c r="B6" s="31" t="s">
        <v>1008</v>
      </c>
      <c r="C6" s="35"/>
      <c r="I6" s="128" t="str">
        <f>IFERROR(IF(SUM(BusinessTable[Total EF (kgCO2e/unit)])&gt;0,"No errors in this table","No data entered"), "There is an error in this table, see highlighted row(s)")</f>
        <v>No data entered</v>
      </c>
      <c r="L6" s="40" t="s">
        <v>53</v>
      </c>
      <c r="T6" s="44"/>
    </row>
    <row r="7" spans="1:20" ht="29.5" thickBot="1" x14ac:dyDescent="0.4">
      <c r="A7" s="26"/>
      <c r="B7" s="41" t="s">
        <v>95</v>
      </c>
      <c r="C7" s="28" t="s">
        <v>56</v>
      </c>
      <c r="D7" s="28" t="s">
        <v>96</v>
      </c>
      <c r="E7" s="28" t="s">
        <v>59</v>
      </c>
      <c r="F7" s="28" t="s">
        <v>60</v>
      </c>
      <c r="G7" s="28" t="s">
        <v>61</v>
      </c>
      <c r="H7" s="28" t="s">
        <v>62</v>
      </c>
      <c r="I7" s="28" t="s">
        <v>63</v>
      </c>
      <c r="J7" s="28" t="s">
        <v>32</v>
      </c>
      <c r="K7" s="28" t="s">
        <v>64</v>
      </c>
      <c r="L7" s="8" t="s">
        <v>7</v>
      </c>
      <c r="M7" s="8" t="s">
        <v>65</v>
      </c>
      <c r="N7" s="8" t="s">
        <v>66</v>
      </c>
      <c r="O7" s="8" t="s">
        <v>67</v>
      </c>
      <c r="P7" s="8" t="s">
        <v>68</v>
      </c>
    </row>
    <row r="8" spans="1:20" ht="15" thickBot="1" x14ac:dyDescent="0.4">
      <c r="A8" s="26"/>
      <c r="B8" s="173"/>
      <c r="C8" s="172"/>
      <c r="D8" s="172"/>
      <c r="E8" s="120"/>
      <c r="F8" s="173"/>
      <c r="G8" s="30" t="str">
        <f t="array" ref="G8">IF(OR($B8="",$C8="",$D8="",F8=""),"",IF(F8=H8,E8,(INDEX('Ffactorau Allyriadau'!$K$3:$V$276,MATCH($B8&amp;$C8&amp;$D8,'Ffactorau Allyriadau'!$J$3:$J$276&amp;'Ffactorau Allyriadau'!$K$3:$K$276&amp;'Ffactorau Allyriadau'!$L$3:$L$276,0),MATCH('Teithio i’r Ysgol a Theithiau S'!G$7,'Ffactorau Allyriadau'!$K$2:$V$2,0)))*E8))</f>
        <v/>
      </c>
      <c r="H8" s="29" t="str">
        <f t="array" ref="H8">IF(OR($B8="",$C8="",$E8=""),"",INDEX('Ffactorau Allyriadau'!$K$3:$V$276,MATCH($B8&amp;$C8&amp;$D8,'Ffactorau Allyriadau'!$J$3:$J$276&amp;'Ffactorau Allyriadau'!$K$3:$K$276&amp;'Ffactorau Allyriadau'!$L$3:$L$276,0),MATCH('Teithio i’r Ysgol a Theithiau S'!H$7,'Ffactorau Allyriadau'!$K$2:$V$2,0)))</f>
        <v/>
      </c>
      <c r="I8" s="29" t="str">
        <f t="array" ref="I8">IF(OR(B8="",C8="",D8=""),"",INDEX('Ffactorau Allyriadau'!$K$3:$V$276,MATCH($B8&amp;$C8&amp;$D8,'Ffactorau Allyriadau'!$J$3:$J$276&amp;'Ffactorau Allyriadau'!$K$3:$K$276&amp;'Ffactorau Allyriadau'!$L$3:$L$276,0),MATCH('Teithio i’r Ysgol a Theithiau S'!I$7,'Ffactorau Allyriadau'!$K$2:$V$2,0)))</f>
        <v/>
      </c>
      <c r="J8" s="32" t="str">
        <f>IF(OR(G8="",I8=""),"",SUM(BusinessTable[[#This Row],[Direct]:[Indirect WTT]]))</f>
        <v/>
      </c>
      <c r="K8" s="122"/>
      <c r="L8" s="210" t="str">
        <f t="array" ref="L8">IF(OR($C8="",$E8=""),"",(INDEX('Ffactorau Allyriadau'!$K$3:$V$201,MATCH($B8&amp;$C8&amp;$D8,'Ffactorau Allyriadau'!$J$3:$J$201&amp;'Ffactorau Allyriadau'!$K$3:$K$201&amp;'Ffactorau Allyriadau'!$L$3:$L$201,0),MATCH(L$7,'Ffactorau Allyriadau'!$K$2:$V$2,0)))*$G8)</f>
        <v/>
      </c>
      <c r="M8" s="210" t="str">
        <f t="array" ref="M8">IF(OR($C8="",$E8=""),"",(INDEX('Ffactorau Allyriadau'!$K$3:$V$201,MATCH($B8&amp;$C8&amp;$D8,'Ffactorau Allyriadau'!$J$3:$J$201&amp;'Ffactorau Allyriadau'!$K$3:$K$201&amp;'Ffactorau Allyriadau'!$L$3:$L$201,0),MATCH(M$7,'Ffactorau Allyriadau'!$K$2:$V$2,0)))*$G8)</f>
        <v/>
      </c>
      <c r="N8" s="210" t="str">
        <f t="array" ref="N8">IF(OR($C8="",$E8=""),"",(INDEX('Ffactorau Allyriadau'!$K$3:$V$201,MATCH($B8&amp;$C8&amp;$D8,'Ffactorau Allyriadau'!$J$3:$J$201&amp;'Ffactorau Allyriadau'!$K$3:$K$201&amp;'Ffactorau Allyriadau'!$L$3:$L$201,0),MATCH(N$7,'Ffactorau Allyriadau'!$K$2:$V$2,0)))*$G8)</f>
        <v/>
      </c>
      <c r="O8" s="210" t="str">
        <f t="array" ref="O8">IF(OR($C8="",$E8=""),"",(INDEX('Ffactorau Allyriadau'!$K$3:$V$201,MATCH($B8&amp;$C8&amp;$D8,'Ffactorau Allyriadau'!$J$3:$J$201&amp;'Ffactorau Allyriadau'!$K$3:$K$201&amp;'Ffactorau Allyriadau'!$L$3:$L$201,0),MATCH(O$7,'Ffactorau Allyriadau'!$K$2:$V$2,0)))*$G8)</f>
        <v/>
      </c>
      <c r="P8" s="210" t="str">
        <f t="array" ref="P8">IF(OR($C8="",$E8=""),"",(INDEX('Ffactorau Allyriadau'!$K$3:$V$201,MATCH($B8&amp;$C8&amp;$D8,'Ffactorau Allyriadau'!$J$3:$J$201&amp;'Ffactorau Allyriadau'!$K$3:$K$201&amp;'Ffactorau Allyriadau'!$L$3:$L$201,0),MATCH(P$7,'Ffactorau Allyriadau'!$K$2:$V$2,0)))*$G8)</f>
        <v/>
      </c>
    </row>
    <row r="9" spans="1:20" ht="15" thickBot="1" x14ac:dyDescent="0.4">
      <c r="A9" s="26"/>
      <c r="B9" s="173"/>
      <c r="C9" s="172"/>
      <c r="D9" s="172"/>
      <c r="E9" s="120"/>
      <c r="F9" s="173"/>
      <c r="G9" s="30" t="str">
        <f t="array" ref="G9">IF(OR($B9="",$C9="",$D9="",F9=""),"",IF(F9=H9,E9,(INDEX('Ffactorau Allyriadau'!$K$3:$V$276,MATCH($B9&amp;$C9&amp;$D9,'Ffactorau Allyriadau'!$J$3:$J$276&amp;'Ffactorau Allyriadau'!$K$3:$K$276&amp;'Ffactorau Allyriadau'!$L$3:$L$276,0),MATCH('Teithio i’r Ysgol a Theithiau S'!G$7,'Ffactorau Allyriadau'!$K$2:$V$2,0)))*E9))</f>
        <v/>
      </c>
      <c r="H9" s="29" t="str">
        <f t="array" ref="H9">IF(OR($B9="",$C9="",$E9=""),"",INDEX('Ffactorau Allyriadau'!$K$3:$V$276,MATCH($B9&amp;$C9&amp;$D9,'Ffactorau Allyriadau'!$J$3:$J$276&amp;'Ffactorau Allyriadau'!$K$3:$K$276&amp;'Ffactorau Allyriadau'!$L$3:$L$276,0),MATCH('Teithio i’r Ysgol a Theithiau S'!H$7,'Ffactorau Allyriadau'!$K$2:$V$2,0)))</f>
        <v/>
      </c>
      <c r="I9" s="29" t="str">
        <f t="array" ref="I9">IF(OR(B9="",C9="",D9=""),"",INDEX('Ffactorau Allyriadau'!$K$3:$V$276,MATCH($B9&amp;$C9&amp;$D9,'Ffactorau Allyriadau'!$J$3:$J$276&amp;'Ffactorau Allyriadau'!$K$3:$K$276&amp;'Ffactorau Allyriadau'!$L$3:$L$276,0),MATCH('Teithio i’r Ysgol a Theithiau S'!I$7,'Ffactorau Allyriadau'!$K$2:$V$2,0)))</f>
        <v/>
      </c>
      <c r="J9" s="32" t="str">
        <f>IF(OR(G9="",I9=""),"",SUM(BusinessTable[[#This Row],[Direct]:[Indirect WTT]]))</f>
        <v/>
      </c>
      <c r="K9" s="122"/>
      <c r="L9" s="210" t="str">
        <f t="array" ref="L9">IF(OR($C9="",$E9=""),"",(INDEX('Ffactorau Allyriadau'!$K$3:$V$201,MATCH($B9&amp;$C9&amp;$D9,'Ffactorau Allyriadau'!$J$3:$J$201&amp;'Ffactorau Allyriadau'!$K$3:$K$201&amp;'Ffactorau Allyriadau'!$L$3:$L$201,0),MATCH(L$7,'Ffactorau Allyriadau'!$K$2:$V$2,0)))*$G9)</f>
        <v/>
      </c>
      <c r="M9" s="210" t="str">
        <f t="array" ref="M9">IF(OR($C9="",$E9=""),"",(INDEX('Ffactorau Allyriadau'!$K$3:$V$201,MATCH($B9&amp;$C9&amp;$D9,'Ffactorau Allyriadau'!$J$3:$J$201&amp;'Ffactorau Allyriadau'!$K$3:$K$201&amp;'Ffactorau Allyriadau'!$L$3:$L$201,0),MATCH(M$7,'Ffactorau Allyriadau'!$K$2:$V$2,0)))*$G9)</f>
        <v/>
      </c>
      <c r="N9" s="210" t="str">
        <f t="array" ref="N9">IF(OR($C9="",$E9=""),"",(INDEX('Ffactorau Allyriadau'!$K$3:$V$201,MATCH($B9&amp;$C9&amp;$D9,'Ffactorau Allyriadau'!$J$3:$J$201&amp;'Ffactorau Allyriadau'!$K$3:$K$201&amp;'Ffactorau Allyriadau'!$L$3:$L$201,0),MATCH(N$7,'Ffactorau Allyriadau'!$K$2:$V$2,0)))*$G9)</f>
        <v/>
      </c>
      <c r="O9" s="210" t="str">
        <f t="array" ref="O9">IF(OR($C9="",$E9=""),"",(INDEX('Ffactorau Allyriadau'!$K$3:$V$201,MATCH($B9&amp;$C9&amp;$D9,'Ffactorau Allyriadau'!$J$3:$J$201&amp;'Ffactorau Allyriadau'!$K$3:$K$201&amp;'Ffactorau Allyriadau'!$L$3:$L$201,0),MATCH(O$7,'Ffactorau Allyriadau'!$K$2:$V$2,0)))*$G9)</f>
        <v/>
      </c>
      <c r="P9" s="210" t="str">
        <f t="array" ref="P9">IF(OR($C9="",$E9=""),"",(INDEX('Ffactorau Allyriadau'!$K$3:$V$201,MATCH($B9&amp;$C9&amp;$D9,'Ffactorau Allyriadau'!$J$3:$J$201&amp;'Ffactorau Allyriadau'!$K$3:$K$201&amp;'Ffactorau Allyriadau'!$L$3:$L$201,0),MATCH(P$7,'Ffactorau Allyriadau'!$K$2:$V$2,0)))*$G9)</f>
        <v/>
      </c>
    </row>
    <row r="10" spans="1:20" ht="15" thickBot="1" x14ac:dyDescent="0.4">
      <c r="A10" s="26"/>
      <c r="B10" s="173"/>
      <c r="C10" s="172"/>
      <c r="D10" s="172"/>
      <c r="E10" s="120"/>
      <c r="F10" s="173"/>
      <c r="G10" s="30" t="str">
        <f t="array" ref="G10">IF(OR($B10="",$C10="",$D10="",F10=""),"",IF(F10=H10,E10,(INDEX('Ffactorau Allyriadau'!$K$3:$V$276,MATCH($B10&amp;$C10&amp;$D10,'Ffactorau Allyriadau'!$J$3:$J$276&amp;'Ffactorau Allyriadau'!$K$3:$K$276&amp;'Ffactorau Allyriadau'!$L$3:$L$276,0),MATCH('Teithio i’r Ysgol a Theithiau S'!G$7,'Ffactorau Allyriadau'!$K$2:$V$2,0)))*E10))</f>
        <v/>
      </c>
      <c r="H10" s="29" t="str">
        <f t="array" ref="H10">IF(OR($B10="",$C10="",$E10=""),"",INDEX('Ffactorau Allyriadau'!$K$3:$V$276,MATCH($B10&amp;$C10&amp;$D10,'Ffactorau Allyriadau'!$J$3:$J$276&amp;'Ffactorau Allyriadau'!$K$3:$K$276&amp;'Ffactorau Allyriadau'!$L$3:$L$276,0),MATCH('Teithio i’r Ysgol a Theithiau S'!H$7,'Ffactorau Allyriadau'!$K$2:$V$2,0)))</f>
        <v/>
      </c>
      <c r="I10" s="29" t="str">
        <f t="array" ref="I10">IF(OR(B10="",C10="",D10=""),"",INDEX('Ffactorau Allyriadau'!$K$3:$V$276,MATCH($B10&amp;$C10&amp;$D10,'Ffactorau Allyriadau'!$J$3:$J$276&amp;'Ffactorau Allyriadau'!$K$3:$K$276&amp;'Ffactorau Allyriadau'!$L$3:$L$276,0),MATCH('Teithio i’r Ysgol a Theithiau S'!I$7,'Ffactorau Allyriadau'!$K$2:$V$2,0)))</f>
        <v/>
      </c>
      <c r="J10" s="32" t="str">
        <f>IF(OR(G10="",I10=""),"",SUM(BusinessTable[[#This Row],[Direct]:[Indirect WTT]]))</f>
        <v/>
      </c>
      <c r="K10" s="122"/>
      <c r="L10" s="210" t="str">
        <f t="array" ref="L10">IF(OR($C10="",$E10=""),"",(INDEX('Ffactorau Allyriadau'!$K$3:$V$201,MATCH($B10&amp;$C10&amp;$D10,'Ffactorau Allyriadau'!$J$3:$J$201&amp;'Ffactorau Allyriadau'!$K$3:$K$201&amp;'Ffactorau Allyriadau'!$L$3:$L$201,0),MATCH(L$7,'Ffactorau Allyriadau'!$K$2:$V$2,0)))*$G10)</f>
        <v/>
      </c>
      <c r="M10" s="210" t="str">
        <f t="array" ref="M10">IF(OR($C10="",$E10=""),"",(INDEX('Ffactorau Allyriadau'!$K$3:$V$201,MATCH($B10&amp;$C10&amp;$D10,'Ffactorau Allyriadau'!$J$3:$J$201&amp;'Ffactorau Allyriadau'!$K$3:$K$201&amp;'Ffactorau Allyriadau'!$L$3:$L$201,0),MATCH(M$7,'Ffactorau Allyriadau'!$K$2:$V$2,0)))*$G10)</f>
        <v/>
      </c>
      <c r="N10" s="210" t="str">
        <f t="array" ref="N10">IF(OR($C10="",$E10=""),"",(INDEX('Ffactorau Allyriadau'!$K$3:$V$201,MATCH($B10&amp;$C10&amp;$D10,'Ffactorau Allyriadau'!$J$3:$J$201&amp;'Ffactorau Allyriadau'!$K$3:$K$201&amp;'Ffactorau Allyriadau'!$L$3:$L$201,0),MATCH(N$7,'Ffactorau Allyriadau'!$K$2:$V$2,0)))*$G10)</f>
        <v/>
      </c>
      <c r="O10" s="210" t="str">
        <f t="array" ref="O10">IF(OR($C10="",$E10=""),"",(INDEX('Ffactorau Allyriadau'!$K$3:$V$201,MATCH($B10&amp;$C10&amp;$D10,'Ffactorau Allyriadau'!$J$3:$J$201&amp;'Ffactorau Allyriadau'!$K$3:$K$201&amp;'Ffactorau Allyriadau'!$L$3:$L$201,0),MATCH(O$7,'Ffactorau Allyriadau'!$K$2:$V$2,0)))*$G10)</f>
        <v/>
      </c>
      <c r="P10" s="210" t="str">
        <f t="array" ref="P10">IF(OR($C10="",$E10=""),"",(INDEX('Ffactorau Allyriadau'!$K$3:$V$201,MATCH($B10&amp;$C10&amp;$D10,'Ffactorau Allyriadau'!$J$3:$J$201&amp;'Ffactorau Allyriadau'!$K$3:$K$201&amp;'Ffactorau Allyriadau'!$L$3:$L$201,0),MATCH(P$7,'Ffactorau Allyriadau'!$K$2:$V$2,0)))*$G10)</f>
        <v/>
      </c>
    </row>
    <row r="11" spans="1:20" ht="15" thickBot="1" x14ac:dyDescent="0.4">
      <c r="A11" s="26"/>
      <c r="B11" s="173"/>
      <c r="C11" s="172"/>
      <c r="D11" s="172"/>
      <c r="E11" s="120"/>
      <c r="F11" s="173"/>
      <c r="G11" s="30" t="str">
        <f t="array" ref="G11">IF(OR($B11="",$C11="",$D11="",F11=""),"",IF(F11=H11,E11,(INDEX('Ffactorau Allyriadau'!$K$3:$V$276,MATCH($B11&amp;$C11&amp;$D11,'Ffactorau Allyriadau'!$J$3:$J$276&amp;'Ffactorau Allyriadau'!$K$3:$K$276&amp;'Ffactorau Allyriadau'!$L$3:$L$276,0),MATCH('Teithio i’r Ysgol a Theithiau S'!G$7,'Ffactorau Allyriadau'!$K$2:$V$2,0)))*E11))</f>
        <v/>
      </c>
      <c r="H11" s="29" t="str">
        <f t="array" ref="H11">IF(OR($B11="",$C11="",$E11=""),"",INDEX('Ffactorau Allyriadau'!$K$3:$V$276,MATCH($B11&amp;$C11&amp;$D11,'Ffactorau Allyriadau'!$J$3:$J$276&amp;'Ffactorau Allyriadau'!$K$3:$K$276&amp;'Ffactorau Allyriadau'!$L$3:$L$276,0),MATCH('Teithio i’r Ysgol a Theithiau S'!H$7,'Ffactorau Allyriadau'!$K$2:$V$2,0)))</f>
        <v/>
      </c>
      <c r="I11" s="29" t="str">
        <f t="array" ref="I11">IF(OR(B11="",C11="",D11=""),"",INDEX('Ffactorau Allyriadau'!$K$3:$V$276,MATCH($B11&amp;$C11&amp;$D11,'Ffactorau Allyriadau'!$J$3:$J$276&amp;'Ffactorau Allyriadau'!$K$3:$K$276&amp;'Ffactorau Allyriadau'!$L$3:$L$276,0),MATCH('Teithio i’r Ysgol a Theithiau S'!I$7,'Ffactorau Allyriadau'!$K$2:$V$2,0)))</f>
        <v/>
      </c>
      <c r="J11" s="32" t="str">
        <f>IF(OR(G11="",I11=""),"",SUM(BusinessTable[[#This Row],[Direct]:[Indirect WTT]]))</f>
        <v/>
      </c>
      <c r="K11" s="122"/>
      <c r="L11" s="210" t="str">
        <f t="array" ref="L11">IF(OR($C11="",$E11=""),"",(INDEX('Ffactorau Allyriadau'!$K$3:$V$201,MATCH($B11&amp;$C11&amp;$D11,'Ffactorau Allyriadau'!$J$3:$J$201&amp;'Ffactorau Allyriadau'!$K$3:$K$201&amp;'Ffactorau Allyriadau'!$L$3:$L$201,0),MATCH(L$7,'Ffactorau Allyriadau'!$K$2:$V$2,0)))*$G11)</f>
        <v/>
      </c>
      <c r="M11" s="210" t="str">
        <f t="array" ref="M11">IF(OR($C11="",$E11=""),"",(INDEX('Ffactorau Allyriadau'!$K$3:$V$201,MATCH($B11&amp;$C11&amp;$D11,'Ffactorau Allyriadau'!$J$3:$J$201&amp;'Ffactorau Allyriadau'!$K$3:$K$201&amp;'Ffactorau Allyriadau'!$L$3:$L$201,0),MATCH(M$7,'Ffactorau Allyriadau'!$K$2:$V$2,0)))*$G11)</f>
        <v/>
      </c>
      <c r="N11" s="210" t="str">
        <f t="array" ref="N11">IF(OR($C11="",$E11=""),"",(INDEX('Ffactorau Allyriadau'!$K$3:$V$201,MATCH($B11&amp;$C11&amp;$D11,'Ffactorau Allyriadau'!$J$3:$J$201&amp;'Ffactorau Allyriadau'!$K$3:$K$201&amp;'Ffactorau Allyriadau'!$L$3:$L$201,0),MATCH(N$7,'Ffactorau Allyriadau'!$K$2:$V$2,0)))*$G11)</f>
        <v/>
      </c>
      <c r="O11" s="210" t="str">
        <f t="array" ref="O11">IF(OR($C11="",$E11=""),"",(INDEX('Ffactorau Allyriadau'!$K$3:$V$201,MATCH($B11&amp;$C11&amp;$D11,'Ffactorau Allyriadau'!$J$3:$J$201&amp;'Ffactorau Allyriadau'!$K$3:$K$201&amp;'Ffactorau Allyriadau'!$L$3:$L$201,0),MATCH(O$7,'Ffactorau Allyriadau'!$K$2:$V$2,0)))*$G11)</f>
        <v/>
      </c>
      <c r="P11" s="210" t="str">
        <f t="array" ref="P11">IF(OR($C11="",$E11=""),"",(INDEX('Ffactorau Allyriadau'!$K$3:$V$201,MATCH($B11&amp;$C11&amp;$D11,'Ffactorau Allyriadau'!$J$3:$J$201&amp;'Ffactorau Allyriadau'!$K$3:$K$201&amp;'Ffactorau Allyriadau'!$L$3:$L$201,0),MATCH(P$7,'Ffactorau Allyriadau'!$K$2:$V$2,0)))*$G11)</f>
        <v/>
      </c>
    </row>
    <row r="12" spans="1:20" ht="15" thickBot="1" x14ac:dyDescent="0.4">
      <c r="A12" s="26"/>
      <c r="B12" s="173"/>
      <c r="C12" s="172"/>
      <c r="D12" s="172"/>
      <c r="E12" s="120"/>
      <c r="F12" s="173"/>
      <c r="G12" s="30" t="str">
        <f t="array" ref="G12">IF(OR($B12="",$C12="",$D12="",F12=""),"",IF(F12=H12,E12,(INDEX('Ffactorau Allyriadau'!$K$3:$V$276,MATCH($B12&amp;$C12&amp;$D12,'Ffactorau Allyriadau'!$J$3:$J$276&amp;'Ffactorau Allyriadau'!$K$3:$K$276&amp;'Ffactorau Allyriadau'!$L$3:$L$276,0),MATCH('Teithio i’r Ysgol a Theithiau S'!G$7,'Ffactorau Allyriadau'!$K$2:$V$2,0)))*E12))</f>
        <v/>
      </c>
      <c r="H12" s="29" t="str">
        <f t="array" ref="H12">IF(OR($B12="",$C12="",$E12=""),"",INDEX('Ffactorau Allyriadau'!$K$3:$V$276,MATCH($B12&amp;$C12&amp;$D12,'Ffactorau Allyriadau'!$J$3:$J$276&amp;'Ffactorau Allyriadau'!$K$3:$K$276&amp;'Ffactorau Allyriadau'!$L$3:$L$276,0),MATCH('Teithio i’r Ysgol a Theithiau S'!H$7,'Ffactorau Allyriadau'!$K$2:$V$2,0)))</f>
        <v/>
      </c>
      <c r="I12" s="29" t="str">
        <f t="array" ref="I12">IF(OR(B12="",C12="",D12=""),"",INDEX('Ffactorau Allyriadau'!$K$3:$V$276,MATCH($B12&amp;$C12&amp;$D12,'Ffactorau Allyriadau'!$J$3:$J$276&amp;'Ffactorau Allyriadau'!$K$3:$K$276&amp;'Ffactorau Allyriadau'!$L$3:$L$276,0),MATCH('Teithio i’r Ysgol a Theithiau S'!I$7,'Ffactorau Allyriadau'!$K$2:$V$2,0)))</f>
        <v/>
      </c>
      <c r="J12" s="32" t="str">
        <f>IF(OR(G12="",I12=""),"",SUM(BusinessTable[[#This Row],[Direct]:[Indirect WTT]]))</f>
        <v/>
      </c>
      <c r="K12" s="122"/>
      <c r="L12" s="210" t="str">
        <f t="array" ref="L12">IF(OR($C12="",$E12=""),"",(INDEX('Ffactorau Allyriadau'!$K$3:$V$201,MATCH($B12&amp;$C12&amp;$D12,'Ffactorau Allyriadau'!$J$3:$J$201&amp;'Ffactorau Allyriadau'!$K$3:$K$201&amp;'Ffactorau Allyriadau'!$L$3:$L$201,0),MATCH(L$7,'Ffactorau Allyriadau'!$K$2:$V$2,0)))*$G12)</f>
        <v/>
      </c>
      <c r="M12" s="210" t="str">
        <f t="array" ref="M12">IF(OR($C12="",$E12=""),"",(INDEX('Ffactorau Allyriadau'!$K$3:$V$201,MATCH($B12&amp;$C12&amp;$D12,'Ffactorau Allyriadau'!$J$3:$J$201&amp;'Ffactorau Allyriadau'!$K$3:$K$201&amp;'Ffactorau Allyriadau'!$L$3:$L$201,0),MATCH(M$7,'Ffactorau Allyriadau'!$K$2:$V$2,0)))*$G12)</f>
        <v/>
      </c>
      <c r="N12" s="210" t="str">
        <f t="array" ref="N12">IF(OR($C12="",$E12=""),"",(INDEX('Ffactorau Allyriadau'!$K$3:$V$201,MATCH($B12&amp;$C12&amp;$D12,'Ffactorau Allyriadau'!$J$3:$J$201&amp;'Ffactorau Allyriadau'!$K$3:$K$201&amp;'Ffactorau Allyriadau'!$L$3:$L$201,0),MATCH(N$7,'Ffactorau Allyriadau'!$K$2:$V$2,0)))*$G12)</f>
        <v/>
      </c>
      <c r="O12" s="210" t="str">
        <f t="array" ref="O12">IF(OR($C12="",$E12=""),"",(INDEX('Ffactorau Allyriadau'!$K$3:$V$201,MATCH($B12&amp;$C12&amp;$D12,'Ffactorau Allyriadau'!$J$3:$J$201&amp;'Ffactorau Allyriadau'!$K$3:$K$201&amp;'Ffactorau Allyriadau'!$L$3:$L$201,0),MATCH(O$7,'Ffactorau Allyriadau'!$K$2:$V$2,0)))*$G12)</f>
        <v/>
      </c>
      <c r="P12" s="210" t="str">
        <f t="array" ref="P12">IF(OR($C12="",$E12=""),"",(INDEX('Ffactorau Allyriadau'!$K$3:$V$201,MATCH($B12&amp;$C12&amp;$D12,'Ffactorau Allyriadau'!$J$3:$J$201&amp;'Ffactorau Allyriadau'!$K$3:$K$201&amp;'Ffactorau Allyriadau'!$L$3:$L$201,0),MATCH(P$7,'Ffactorau Allyriadau'!$K$2:$V$2,0)))*$G12)</f>
        <v/>
      </c>
    </row>
    <row r="13" spans="1:20" ht="15" thickBot="1" x14ac:dyDescent="0.4">
      <c r="A13" s="26"/>
      <c r="B13" s="173"/>
      <c r="C13" s="123"/>
      <c r="D13" s="123"/>
      <c r="E13" s="120"/>
      <c r="F13" s="123"/>
      <c r="G13" s="30" t="str">
        <f t="array" ref="G13">IF(OR($B13="",$C13="",$D13="",F13=""),"",IF(F13=H13,E13,(INDEX('Ffactorau Allyriadau'!$K$3:$V$276,MATCH($B13&amp;$C13&amp;$D13,'Ffactorau Allyriadau'!$J$3:$J$276&amp;'Ffactorau Allyriadau'!$K$3:$K$276&amp;'Ffactorau Allyriadau'!$L$3:$L$276,0),MATCH('Teithio i’r Ysgol a Theithiau S'!G$7,'Ffactorau Allyriadau'!$K$2:$V$2,0)))*E13))</f>
        <v/>
      </c>
      <c r="H13" s="29" t="str">
        <f t="array" ref="H13">IF(OR($B13="",$C13="",$E13=""),"",INDEX('Ffactorau Allyriadau'!$K$3:$V$276,MATCH($B13&amp;$C13&amp;$D13,'Ffactorau Allyriadau'!$J$3:$J$276&amp;'Ffactorau Allyriadau'!$K$3:$K$276&amp;'Ffactorau Allyriadau'!$L$3:$L$276,0),MATCH('Teithio i’r Ysgol a Theithiau S'!H$7,'Ffactorau Allyriadau'!$K$2:$V$2,0)))</f>
        <v/>
      </c>
      <c r="I13" s="29" t="str">
        <f t="array" ref="I13">IF(OR(B13="",C13="",D13=""),"",INDEX('Ffactorau Allyriadau'!$K$3:$V$276,MATCH($B13&amp;$C13&amp;$D13,'Ffactorau Allyriadau'!$J$3:$J$276&amp;'Ffactorau Allyriadau'!$K$3:$K$276&amp;'Ffactorau Allyriadau'!$L$3:$L$276,0),MATCH('Teithio i’r Ysgol a Theithiau S'!I$7,'Ffactorau Allyriadau'!$K$2:$V$2,0)))</f>
        <v/>
      </c>
      <c r="J13" s="32" t="str">
        <f>IF(OR(G13="",I13=""),"",SUM(BusinessTable[[#This Row],[Direct]:[Indirect WTT]]))</f>
        <v/>
      </c>
      <c r="K13" s="122"/>
      <c r="L13" s="210" t="str">
        <f t="array" ref="L13">IF(OR($C13="",$E13=""),"",(INDEX('Ffactorau Allyriadau'!$K$3:$V$201,MATCH($B13&amp;$C13&amp;$D13,'Ffactorau Allyriadau'!$J$3:$J$201&amp;'Ffactorau Allyriadau'!$K$3:$K$201&amp;'Ffactorau Allyriadau'!$L$3:$L$201,0),MATCH(L$7,'Ffactorau Allyriadau'!$K$2:$V$2,0)))*$G13)</f>
        <v/>
      </c>
      <c r="M13" s="210" t="str">
        <f t="array" ref="M13">IF(OR($C13="",$E13=""),"",(INDEX('Ffactorau Allyriadau'!$K$3:$V$201,MATCH($B13&amp;$C13&amp;$D13,'Ffactorau Allyriadau'!$J$3:$J$201&amp;'Ffactorau Allyriadau'!$K$3:$K$201&amp;'Ffactorau Allyriadau'!$L$3:$L$201,0),MATCH(M$7,'Ffactorau Allyriadau'!$K$2:$V$2,0)))*$G13)</f>
        <v/>
      </c>
      <c r="N13" s="210" t="str">
        <f t="array" ref="N13">IF(OR($C13="",$E13=""),"",(INDEX('Ffactorau Allyriadau'!$K$3:$V$201,MATCH($B13&amp;$C13&amp;$D13,'Ffactorau Allyriadau'!$J$3:$J$201&amp;'Ffactorau Allyriadau'!$K$3:$K$201&amp;'Ffactorau Allyriadau'!$L$3:$L$201,0),MATCH(N$7,'Ffactorau Allyriadau'!$K$2:$V$2,0)))*$G13)</f>
        <v/>
      </c>
      <c r="O13" s="210" t="str">
        <f t="array" ref="O13">IF(OR($C13="",$E13=""),"",(INDEX('Ffactorau Allyriadau'!$K$3:$V$201,MATCH($B13&amp;$C13&amp;$D13,'Ffactorau Allyriadau'!$J$3:$J$201&amp;'Ffactorau Allyriadau'!$K$3:$K$201&amp;'Ffactorau Allyriadau'!$L$3:$L$201,0),MATCH(O$7,'Ffactorau Allyriadau'!$K$2:$V$2,0)))*$G13)</f>
        <v/>
      </c>
      <c r="P13" s="210" t="str">
        <f t="array" ref="P13">IF(OR($C13="",$E13=""),"",(INDEX('Ffactorau Allyriadau'!$K$3:$V$201,MATCH($B13&amp;$C13&amp;$D13,'Ffactorau Allyriadau'!$J$3:$J$201&amp;'Ffactorau Allyriadau'!$K$3:$K$201&amp;'Ffactorau Allyriadau'!$L$3:$L$201,0),MATCH(P$7,'Ffactorau Allyriadau'!$K$2:$V$2,0)))*$G13)</f>
        <v/>
      </c>
    </row>
    <row r="14" spans="1:20" ht="15" thickBot="1" x14ac:dyDescent="0.4">
      <c r="A14" s="26"/>
      <c r="B14" s="173"/>
      <c r="C14" s="123"/>
      <c r="D14" s="123"/>
      <c r="E14" s="120"/>
      <c r="F14" s="123"/>
      <c r="G14" s="30" t="str">
        <f t="array" ref="G14">IF(OR($B14="",$C14="",$D14="",F14=""),"",IF(F14=H14,E14,(INDEX('Ffactorau Allyriadau'!$K$3:$V$276,MATCH($B14&amp;$C14&amp;$D14,'Ffactorau Allyriadau'!$J$3:$J$276&amp;'Ffactorau Allyriadau'!$K$3:$K$276&amp;'Ffactorau Allyriadau'!$L$3:$L$276,0),MATCH('Teithio i’r Ysgol a Theithiau S'!G$7,'Ffactorau Allyriadau'!$K$2:$V$2,0)))*E14))</f>
        <v/>
      </c>
      <c r="H14" s="29" t="str">
        <f t="array" ref="H14">IF(OR($B14="",$C14="",$E14=""),"",INDEX('Ffactorau Allyriadau'!$K$3:$V$276,MATCH($B14&amp;$C14&amp;$D14,'Ffactorau Allyriadau'!$J$3:$J$276&amp;'Ffactorau Allyriadau'!$K$3:$K$276&amp;'Ffactorau Allyriadau'!$L$3:$L$276,0),MATCH('Teithio i’r Ysgol a Theithiau S'!H$7,'Ffactorau Allyriadau'!$K$2:$V$2,0)))</f>
        <v/>
      </c>
      <c r="I14" s="29" t="str">
        <f t="array" ref="I14">IF(OR(B14="",C14="",D14=""),"",INDEX('Ffactorau Allyriadau'!$K$3:$V$276,MATCH($B14&amp;$C14&amp;$D14,'Ffactorau Allyriadau'!$J$3:$J$276&amp;'Ffactorau Allyriadau'!$K$3:$K$276&amp;'Ffactorau Allyriadau'!$L$3:$L$276,0),MATCH('Teithio i’r Ysgol a Theithiau S'!I$7,'Ffactorau Allyriadau'!$K$2:$V$2,0)))</f>
        <v/>
      </c>
      <c r="J14" s="32" t="str">
        <f>IF(OR(G14="",I14=""),"",SUM(BusinessTable[[#This Row],[Direct]:[Indirect WTT]]))</f>
        <v/>
      </c>
      <c r="K14" s="122"/>
      <c r="L14" s="210" t="str">
        <f t="array" ref="L14">IF(OR($C14="",$E14=""),"",(INDEX('Ffactorau Allyriadau'!$K$3:$V$201,MATCH($B14&amp;$C14&amp;$D14,'Ffactorau Allyriadau'!$J$3:$J$201&amp;'Ffactorau Allyriadau'!$K$3:$K$201&amp;'Ffactorau Allyriadau'!$L$3:$L$201,0),MATCH(L$7,'Ffactorau Allyriadau'!$K$2:$V$2,0)))*$G14)</f>
        <v/>
      </c>
      <c r="M14" s="210" t="str">
        <f t="array" ref="M14">IF(OR($C14="",$E14=""),"",(INDEX('Ffactorau Allyriadau'!$K$3:$V$201,MATCH($B14&amp;$C14&amp;$D14,'Ffactorau Allyriadau'!$J$3:$J$201&amp;'Ffactorau Allyriadau'!$K$3:$K$201&amp;'Ffactorau Allyriadau'!$L$3:$L$201,0),MATCH(M$7,'Ffactorau Allyriadau'!$K$2:$V$2,0)))*$G14)</f>
        <v/>
      </c>
      <c r="N14" s="210" t="str">
        <f t="array" ref="N14">IF(OR($C14="",$E14=""),"",(INDEX('Ffactorau Allyriadau'!$K$3:$V$201,MATCH($B14&amp;$C14&amp;$D14,'Ffactorau Allyriadau'!$J$3:$J$201&amp;'Ffactorau Allyriadau'!$K$3:$K$201&amp;'Ffactorau Allyriadau'!$L$3:$L$201,0),MATCH(N$7,'Ffactorau Allyriadau'!$K$2:$V$2,0)))*$G14)</f>
        <v/>
      </c>
      <c r="O14" s="210" t="str">
        <f t="array" ref="O14">IF(OR($C14="",$E14=""),"",(INDEX('Ffactorau Allyriadau'!$K$3:$V$201,MATCH($B14&amp;$C14&amp;$D14,'Ffactorau Allyriadau'!$J$3:$J$201&amp;'Ffactorau Allyriadau'!$K$3:$K$201&amp;'Ffactorau Allyriadau'!$L$3:$L$201,0),MATCH(O$7,'Ffactorau Allyriadau'!$K$2:$V$2,0)))*$G14)</f>
        <v/>
      </c>
      <c r="P14" s="210" t="str">
        <f t="array" ref="P14">IF(OR($C14="",$E14=""),"",(INDEX('Ffactorau Allyriadau'!$K$3:$V$201,MATCH($B14&amp;$C14&amp;$D14,'Ffactorau Allyriadau'!$J$3:$J$201&amp;'Ffactorau Allyriadau'!$K$3:$K$201&amp;'Ffactorau Allyriadau'!$L$3:$L$201,0),MATCH(P$7,'Ffactorau Allyriadau'!$K$2:$V$2,0)))*$G14)</f>
        <v/>
      </c>
    </row>
    <row r="15" spans="1:20" ht="15" thickBot="1" x14ac:dyDescent="0.4">
      <c r="A15" s="26"/>
      <c r="B15" s="173"/>
      <c r="C15" s="123"/>
      <c r="D15" s="123"/>
      <c r="E15" s="120"/>
      <c r="F15" s="126"/>
      <c r="G15" s="30" t="str">
        <f t="array" ref="G15">IF(OR($B15="",$C15="",$D15="",F15=""),"",IF(F15=H15,E15,(INDEX('Ffactorau Allyriadau'!$K$3:$V$276,MATCH($B15&amp;$C15&amp;$D15,'Ffactorau Allyriadau'!$J$3:$J$276&amp;'Ffactorau Allyriadau'!$K$3:$K$276&amp;'Ffactorau Allyriadau'!$L$3:$L$276,0),MATCH('Teithio i’r Ysgol a Theithiau S'!G$7,'Ffactorau Allyriadau'!$K$2:$V$2,0)))*E15))</f>
        <v/>
      </c>
      <c r="H15" s="29" t="str">
        <f t="array" ref="H15">IF(OR($B15="",$C15="",$E15=""),"",INDEX('Ffactorau Allyriadau'!$K$3:$V$276,MATCH($B15&amp;$C15&amp;$D15,'Ffactorau Allyriadau'!$J$3:$J$276&amp;'Ffactorau Allyriadau'!$K$3:$K$276&amp;'Ffactorau Allyriadau'!$L$3:$L$276,0),MATCH('Teithio i’r Ysgol a Theithiau S'!H$7,'Ffactorau Allyriadau'!$K$2:$V$2,0)))</f>
        <v/>
      </c>
      <c r="I15" s="29" t="str">
        <f t="array" ref="I15">IF(OR(B15="",C15="",D15=""),"",INDEX('Ffactorau Allyriadau'!$K$3:$V$276,MATCH($B15&amp;$C15&amp;$D15,'Ffactorau Allyriadau'!$J$3:$J$276&amp;'Ffactorau Allyriadau'!$K$3:$K$276&amp;'Ffactorau Allyriadau'!$L$3:$L$276,0),MATCH('Teithio i’r Ysgol a Theithiau S'!I$7,'Ffactorau Allyriadau'!$K$2:$V$2,0)))</f>
        <v/>
      </c>
      <c r="J15" s="32" t="str">
        <f>IF(OR(G15="",I15=""),"",SUM(BusinessTable[[#This Row],[Direct]:[Indirect WTT]]))</f>
        <v/>
      </c>
      <c r="K15" s="122"/>
      <c r="L15" s="210" t="str">
        <f t="array" ref="L15">IF(OR($C15="",$E15=""),"",(INDEX('Ffactorau Allyriadau'!$K$3:$V$201,MATCH($B15&amp;$C15&amp;$D15,'Ffactorau Allyriadau'!$J$3:$J$201&amp;'Ffactorau Allyriadau'!$K$3:$K$201&amp;'Ffactorau Allyriadau'!$L$3:$L$201,0),MATCH(L$7,'Ffactorau Allyriadau'!$K$2:$V$2,0)))*$G15)</f>
        <v/>
      </c>
      <c r="M15" s="210" t="str">
        <f t="array" ref="M15">IF(OR($C15="",$E15=""),"",(INDEX('Ffactorau Allyriadau'!$K$3:$V$201,MATCH($B15&amp;$C15&amp;$D15,'Ffactorau Allyriadau'!$J$3:$J$201&amp;'Ffactorau Allyriadau'!$K$3:$K$201&amp;'Ffactorau Allyriadau'!$L$3:$L$201,0),MATCH(M$7,'Ffactorau Allyriadau'!$K$2:$V$2,0)))*$G15)</f>
        <v/>
      </c>
      <c r="N15" s="210" t="str">
        <f t="array" ref="N15">IF(OR($C15="",$E15=""),"",(INDEX('Ffactorau Allyriadau'!$K$3:$V$201,MATCH($B15&amp;$C15&amp;$D15,'Ffactorau Allyriadau'!$J$3:$J$201&amp;'Ffactorau Allyriadau'!$K$3:$K$201&amp;'Ffactorau Allyriadau'!$L$3:$L$201,0),MATCH(N$7,'Ffactorau Allyriadau'!$K$2:$V$2,0)))*$G15)</f>
        <v/>
      </c>
      <c r="O15" s="210" t="str">
        <f t="array" ref="O15">IF(OR($C15="",$E15=""),"",(INDEX('Ffactorau Allyriadau'!$K$3:$V$201,MATCH($B15&amp;$C15&amp;$D15,'Ffactorau Allyriadau'!$J$3:$J$201&amp;'Ffactorau Allyriadau'!$K$3:$K$201&amp;'Ffactorau Allyriadau'!$L$3:$L$201,0),MATCH(O$7,'Ffactorau Allyriadau'!$K$2:$V$2,0)))*$G15)</f>
        <v/>
      </c>
      <c r="P15" s="210" t="str">
        <f t="array" ref="P15">IF(OR($C15="",$E15=""),"",(INDEX('Ffactorau Allyriadau'!$K$3:$V$201,MATCH($B15&amp;$C15&amp;$D15,'Ffactorau Allyriadau'!$J$3:$J$201&amp;'Ffactorau Allyriadau'!$K$3:$K$201&amp;'Ffactorau Allyriadau'!$L$3:$L$201,0),MATCH(P$7,'Ffactorau Allyriadau'!$K$2:$V$2,0)))*$G15)</f>
        <v/>
      </c>
    </row>
    <row r="16" spans="1:20" ht="15" thickBot="1" x14ac:dyDescent="0.4">
      <c r="A16" s="26"/>
      <c r="B16" s="173"/>
      <c r="C16" s="123"/>
      <c r="D16" s="123"/>
      <c r="E16" s="120"/>
      <c r="F16" s="126"/>
      <c r="G16" s="30" t="str">
        <f t="array" ref="G16">IF(OR($B16="",$C16="",$D16="",F16=""),"",IF(F16=H16,E16,(INDEX('Ffactorau Allyriadau'!$K$3:$V$276,MATCH($B16&amp;$C16&amp;$D16,'Ffactorau Allyriadau'!$J$3:$J$276&amp;'Ffactorau Allyriadau'!$K$3:$K$276&amp;'Ffactorau Allyriadau'!$L$3:$L$276,0),MATCH('Teithio i’r Ysgol a Theithiau S'!G$7,'Ffactorau Allyriadau'!$K$2:$V$2,0)))*E16))</f>
        <v/>
      </c>
      <c r="H16" s="29" t="str">
        <f t="array" ref="H16">IF(OR($B16="",$C16="",$E16=""),"",INDEX('Ffactorau Allyriadau'!$K$3:$V$276,MATCH($B16&amp;$C16&amp;$D16,'Ffactorau Allyriadau'!$J$3:$J$276&amp;'Ffactorau Allyriadau'!$K$3:$K$276&amp;'Ffactorau Allyriadau'!$L$3:$L$276,0),MATCH('Teithio i’r Ysgol a Theithiau S'!H$7,'Ffactorau Allyriadau'!$K$2:$V$2,0)))</f>
        <v/>
      </c>
      <c r="I16" s="29" t="str">
        <f t="array" ref="I16">IF(OR(B16="",C16="",D16=""),"",INDEX('Ffactorau Allyriadau'!$K$3:$V$276,MATCH($B16&amp;$C16&amp;$D16,'Ffactorau Allyriadau'!$J$3:$J$276&amp;'Ffactorau Allyriadau'!$K$3:$K$276&amp;'Ffactorau Allyriadau'!$L$3:$L$276,0),MATCH('Teithio i’r Ysgol a Theithiau S'!I$7,'Ffactorau Allyriadau'!$K$2:$V$2,0)))</f>
        <v/>
      </c>
      <c r="J16" s="32" t="str">
        <f>IF(OR(G16="",I16=""),"",SUM(BusinessTable[[#This Row],[Direct]:[Indirect WTT]]))</f>
        <v/>
      </c>
      <c r="K16" s="122"/>
      <c r="L16" s="210" t="str">
        <f t="array" ref="L16">IF(OR($C16="",$E16=""),"",(INDEX('Ffactorau Allyriadau'!$K$3:$V$201,MATCH($B16&amp;$C16&amp;$D16,'Ffactorau Allyriadau'!$J$3:$J$201&amp;'Ffactorau Allyriadau'!$K$3:$K$201&amp;'Ffactorau Allyriadau'!$L$3:$L$201,0),MATCH(L$7,'Ffactorau Allyriadau'!$K$2:$V$2,0)))*$G16)</f>
        <v/>
      </c>
      <c r="M16" s="210" t="str">
        <f t="array" ref="M16">IF(OR($C16="",$E16=""),"",(INDEX('Ffactorau Allyriadau'!$K$3:$V$201,MATCH($B16&amp;$C16&amp;$D16,'Ffactorau Allyriadau'!$J$3:$J$201&amp;'Ffactorau Allyriadau'!$K$3:$K$201&amp;'Ffactorau Allyriadau'!$L$3:$L$201,0),MATCH(M$7,'Ffactorau Allyriadau'!$K$2:$V$2,0)))*$G16)</f>
        <v/>
      </c>
      <c r="N16" s="210" t="str">
        <f t="array" ref="N16">IF(OR($C16="",$E16=""),"",(INDEX('Ffactorau Allyriadau'!$K$3:$V$201,MATCH($B16&amp;$C16&amp;$D16,'Ffactorau Allyriadau'!$J$3:$J$201&amp;'Ffactorau Allyriadau'!$K$3:$K$201&amp;'Ffactorau Allyriadau'!$L$3:$L$201,0),MATCH(N$7,'Ffactorau Allyriadau'!$K$2:$V$2,0)))*$G16)</f>
        <v/>
      </c>
      <c r="O16" s="210" t="str">
        <f t="array" ref="O16">IF(OR($C16="",$E16=""),"",(INDEX('Ffactorau Allyriadau'!$K$3:$V$201,MATCH($B16&amp;$C16&amp;$D16,'Ffactorau Allyriadau'!$J$3:$J$201&amp;'Ffactorau Allyriadau'!$K$3:$K$201&amp;'Ffactorau Allyriadau'!$L$3:$L$201,0),MATCH(O$7,'Ffactorau Allyriadau'!$K$2:$V$2,0)))*$G16)</f>
        <v/>
      </c>
      <c r="P16" s="210" t="str">
        <f t="array" ref="P16">IF(OR($C16="",$E16=""),"",(INDEX('Ffactorau Allyriadau'!$K$3:$V$201,MATCH($B16&amp;$C16&amp;$D16,'Ffactorau Allyriadau'!$J$3:$J$201&amp;'Ffactorau Allyriadau'!$K$3:$K$201&amp;'Ffactorau Allyriadau'!$L$3:$L$201,0),MATCH(P$7,'Ffactorau Allyriadau'!$K$2:$V$2,0)))*$G16)</f>
        <v/>
      </c>
    </row>
    <row r="17" spans="1:22" ht="15" thickBot="1" x14ac:dyDescent="0.4">
      <c r="A17" s="26"/>
      <c r="B17" s="173"/>
      <c r="C17" s="123"/>
      <c r="D17" s="123"/>
      <c r="E17" s="120"/>
      <c r="F17" s="126"/>
      <c r="G17" s="30" t="str">
        <f t="array" ref="G17">IF(OR($B17="",$C17="",$D17="",F17=""),"",IF(F17=H17,E17,(INDEX('Ffactorau Allyriadau'!$K$3:$V$276,MATCH($B17&amp;$C17&amp;$D17,'Ffactorau Allyriadau'!$J$3:$J$276&amp;'Ffactorau Allyriadau'!$K$3:$K$276&amp;'Ffactorau Allyriadau'!$L$3:$L$276,0),MATCH('Teithio i’r Ysgol a Theithiau S'!G$7,'Ffactorau Allyriadau'!$K$2:$V$2,0)))*E17))</f>
        <v/>
      </c>
      <c r="H17" s="29" t="str">
        <f t="array" ref="H17">IF(OR($B17="",$C17="",$E17=""),"",INDEX('Ffactorau Allyriadau'!$K$3:$V$276,MATCH($B17&amp;$C17&amp;$D17,'Ffactorau Allyriadau'!$J$3:$J$276&amp;'Ffactorau Allyriadau'!$K$3:$K$276&amp;'Ffactorau Allyriadau'!$L$3:$L$276,0),MATCH('Teithio i’r Ysgol a Theithiau S'!H$7,'Ffactorau Allyriadau'!$K$2:$V$2,0)))</f>
        <v/>
      </c>
      <c r="I17" s="29" t="str">
        <f t="array" ref="I17">IF(OR(B17="",C17="",D17=""),"",INDEX('Ffactorau Allyriadau'!$K$3:$V$276,MATCH($B17&amp;$C17&amp;$D17,'Ffactorau Allyriadau'!$J$3:$J$276&amp;'Ffactorau Allyriadau'!$K$3:$K$276&amp;'Ffactorau Allyriadau'!$L$3:$L$276,0),MATCH('Teithio i’r Ysgol a Theithiau S'!I$7,'Ffactorau Allyriadau'!$K$2:$V$2,0)))</f>
        <v/>
      </c>
      <c r="J17" s="32" t="str">
        <f>IF(OR(G17="",I17=""),"",SUM(BusinessTable[[#This Row],[Direct]:[Indirect WTT]]))</f>
        <v/>
      </c>
      <c r="K17" s="122"/>
      <c r="L17" s="210" t="str">
        <f t="array" ref="L17">IF(OR($C17="",$E17=""),"",(INDEX('Ffactorau Allyriadau'!$K$3:$V$201,MATCH($B17&amp;$C17&amp;$D17,'Ffactorau Allyriadau'!$J$3:$J$201&amp;'Ffactorau Allyriadau'!$K$3:$K$201&amp;'Ffactorau Allyriadau'!$L$3:$L$201,0),MATCH(L$7,'Ffactorau Allyriadau'!$K$2:$V$2,0)))*$G17)</f>
        <v/>
      </c>
      <c r="M17" s="210" t="str">
        <f t="array" ref="M17">IF(OR($C17="",$E17=""),"",(INDEX('Ffactorau Allyriadau'!$K$3:$V$201,MATCH($B17&amp;$C17&amp;$D17,'Ffactorau Allyriadau'!$J$3:$J$201&amp;'Ffactorau Allyriadau'!$K$3:$K$201&amp;'Ffactorau Allyriadau'!$L$3:$L$201,0),MATCH(M$7,'Ffactorau Allyriadau'!$K$2:$V$2,0)))*$G17)</f>
        <v/>
      </c>
      <c r="N17" s="210" t="str">
        <f t="array" ref="N17">IF(OR($C17="",$E17=""),"",(INDEX('Ffactorau Allyriadau'!$K$3:$V$201,MATCH($B17&amp;$C17&amp;$D17,'Ffactorau Allyriadau'!$J$3:$J$201&amp;'Ffactorau Allyriadau'!$K$3:$K$201&amp;'Ffactorau Allyriadau'!$L$3:$L$201,0),MATCH(N$7,'Ffactorau Allyriadau'!$K$2:$V$2,0)))*$G17)</f>
        <v/>
      </c>
      <c r="O17" s="210" t="str">
        <f t="array" ref="O17">IF(OR($C17="",$E17=""),"",(INDEX('Ffactorau Allyriadau'!$K$3:$V$201,MATCH($B17&amp;$C17&amp;$D17,'Ffactorau Allyriadau'!$J$3:$J$201&amp;'Ffactorau Allyriadau'!$K$3:$K$201&amp;'Ffactorau Allyriadau'!$L$3:$L$201,0),MATCH(O$7,'Ffactorau Allyriadau'!$K$2:$V$2,0)))*$G17)</f>
        <v/>
      </c>
      <c r="P17" s="210" t="str">
        <f t="array" ref="P17">IF(OR($C17="",$E17=""),"",(INDEX('Ffactorau Allyriadau'!$K$3:$V$201,MATCH($B17&amp;$C17&amp;$D17,'Ffactorau Allyriadau'!$J$3:$J$201&amp;'Ffactorau Allyriadau'!$K$3:$K$201&amp;'Ffactorau Allyriadau'!$L$3:$L$201,0),MATCH(P$7,'Ffactorau Allyriadau'!$K$2:$V$2,0)))*$G17)</f>
        <v/>
      </c>
    </row>
    <row r="18" spans="1:22" ht="15" thickBot="1" x14ac:dyDescent="0.4">
      <c r="A18" s="26"/>
      <c r="B18" s="173"/>
      <c r="C18" s="123"/>
      <c r="D18" s="123"/>
      <c r="E18" s="120"/>
      <c r="F18" s="126"/>
      <c r="G18" s="30" t="str">
        <f t="array" ref="G18">IF(OR($B18="",$C18="",$D18="",F18=""),"",IF(F18=H18,E18,(INDEX('Ffactorau Allyriadau'!$K$3:$V$276,MATCH($B18&amp;$C18&amp;$D18,'Ffactorau Allyriadau'!$J$3:$J$276&amp;'Ffactorau Allyriadau'!$K$3:$K$276&amp;'Ffactorau Allyriadau'!$L$3:$L$276,0),MATCH('Teithio i’r Ysgol a Theithiau S'!G$7,'Ffactorau Allyriadau'!$K$2:$V$2,0)))*E18))</f>
        <v/>
      </c>
      <c r="H18" s="29" t="str">
        <f t="array" ref="H18">IF(OR($B18="",$C18="",$E18=""),"",INDEX('Ffactorau Allyriadau'!$K$3:$V$276,MATCH($B18&amp;$C18&amp;$D18,'Ffactorau Allyriadau'!$J$3:$J$276&amp;'Ffactorau Allyriadau'!$K$3:$K$276&amp;'Ffactorau Allyriadau'!$L$3:$L$276,0),MATCH('Teithio i’r Ysgol a Theithiau S'!H$7,'Ffactorau Allyriadau'!$K$2:$V$2,0)))</f>
        <v/>
      </c>
      <c r="I18" s="29" t="str">
        <f t="array" ref="I18">IF(OR(B18="",C18="",D18=""),"",INDEX('Ffactorau Allyriadau'!$K$3:$V$276,MATCH($B18&amp;$C18&amp;$D18,'Ffactorau Allyriadau'!$J$3:$J$276&amp;'Ffactorau Allyriadau'!$K$3:$K$276&amp;'Ffactorau Allyriadau'!$L$3:$L$276,0),MATCH('Teithio i’r Ysgol a Theithiau S'!I$7,'Ffactorau Allyriadau'!$K$2:$V$2,0)))</f>
        <v/>
      </c>
      <c r="J18" s="32" t="str">
        <f>IF(OR(G18="",I18=""),"",SUM(BusinessTable[[#This Row],[Direct]:[Indirect WTT]]))</f>
        <v/>
      </c>
      <c r="K18" s="122"/>
      <c r="L18" s="210" t="str">
        <f t="array" ref="L18">IF(OR($C18="",$E18=""),"",(INDEX('Ffactorau Allyriadau'!$K$3:$V$201,MATCH($B18&amp;$C18&amp;$D18,'Ffactorau Allyriadau'!$J$3:$J$201&amp;'Ffactorau Allyriadau'!$K$3:$K$201&amp;'Ffactorau Allyriadau'!$L$3:$L$201,0),MATCH(L$7,'Ffactorau Allyriadau'!$K$2:$V$2,0)))*$G18)</f>
        <v/>
      </c>
      <c r="M18" s="210" t="str">
        <f t="array" ref="M18">IF(OR($C18="",$E18=""),"",(INDEX('Ffactorau Allyriadau'!$K$3:$V$201,MATCH($B18&amp;$C18&amp;$D18,'Ffactorau Allyriadau'!$J$3:$J$201&amp;'Ffactorau Allyriadau'!$K$3:$K$201&amp;'Ffactorau Allyriadau'!$L$3:$L$201,0),MATCH(M$7,'Ffactorau Allyriadau'!$K$2:$V$2,0)))*$G18)</f>
        <v/>
      </c>
      <c r="N18" s="210" t="str">
        <f t="array" ref="N18">IF(OR($C18="",$E18=""),"",(INDEX('Ffactorau Allyriadau'!$K$3:$V$201,MATCH($B18&amp;$C18&amp;$D18,'Ffactorau Allyriadau'!$J$3:$J$201&amp;'Ffactorau Allyriadau'!$K$3:$K$201&amp;'Ffactorau Allyriadau'!$L$3:$L$201,0),MATCH(N$7,'Ffactorau Allyriadau'!$K$2:$V$2,0)))*$G18)</f>
        <v/>
      </c>
      <c r="O18" s="210" t="str">
        <f t="array" ref="O18">IF(OR($C18="",$E18=""),"",(INDEX('Ffactorau Allyriadau'!$K$3:$V$201,MATCH($B18&amp;$C18&amp;$D18,'Ffactorau Allyriadau'!$J$3:$J$201&amp;'Ffactorau Allyriadau'!$K$3:$K$201&amp;'Ffactorau Allyriadau'!$L$3:$L$201,0),MATCH(O$7,'Ffactorau Allyriadau'!$K$2:$V$2,0)))*$G18)</f>
        <v/>
      </c>
      <c r="P18" s="210" t="str">
        <f t="array" ref="P18">IF(OR($C18="",$E18=""),"",(INDEX('Ffactorau Allyriadau'!$K$3:$V$201,MATCH($B18&amp;$C18&amp;$D18,'Ffactorau Allyriadau'!$J$3:$J$201&amp;'Ffactorau Allyriadau'!$K$3:$K$201&amp;'Ffactorau Allyriadau'!$L$3:$L$201,0),MATCH(P$7,'Ffactorau Allyriadau'!$K$2:$V$2,0)))*$G18)</f>
        <v/>
      </c>
    </row>
    <row r="19" spans="1:22" ht="15" thickBot="1" x14ac:dyDescent="0.4">
      <c r="A19" s="26"/>
      <c r="B19" s="173"/>
      <c r="C19" s="123"/>
      <c r="D19" s="123"/>
      <c r="E19" s="120"/>
      <c r="F19" s="126"/>
      <c r="G19" s="30" t="str">
        <f t="array" ref="G19">IF(OR($B19="",$C19="",$D19="",F19=""),"",IF(F19=H19,E19,(INDEX('Ffactorau Allyriadau'!$K$3:$V$276,MATCH($B19&amp;$C19&amp;$D19,'Ffactorau Allyriadau'!$J$3:$J$276&amp;'Ffactorau Allyriadau'!$K$3:$K$276&amp;'Ffactorau Allyriadau'!$L$3:$L$276,0),MATCH('Teithio i’r Ysgol a Theithiau S'!G$7,'Ffactorau Allyriadau'!$K$2:$V$2,0)))*E19))</f>
        <v/>
      </c>
      <c r="H19" s="29" t="str">
        <f t="array" ref="H19">IF(OR($B19="",$C19="",$E19=""),"",INDEX('Ffactorau Allyriadau'!$K$3:$V$276,MATCH($B19&amp;$C19&amp;$D19,'Ffactorau Allyriadau'!$J$3:$J$276&amp;'Ffactorau Allyriadau'!$K$3:$K$276&amp;'Ffactorau Allyriadau'!$L$3:$L$276,0),MATCH('Teithio i’r Ysgol a Theithiau S'!H$7,'Ffactorau Allyriadau'!$K$2:$V$2,0)))</f>
        <v/>
      </c>
      <c r="I19" s="29" t="str">
        <f t="array" ref="I19">IF(OR(B19="",C19="",D19=""),"",INDEX('Ffactorau Allyriadau'!$K$3:$V$276,MATCH($B19&amp;$C19&amp;$D19,'Ffactorau Allyriadau'!$J$3:$J$276&amp;'Ffactorau Allyriadau'!$K$3:$K$276&amp;'Ffactorau Allyriadau'!$L$3:$L$276,0),MATCH('Teithio i’r Ysgol a Theithiau S'!I$7,'Ffactorau Allyriadau'!$K$2:$V$2,0)))</f>
        <v/>
      </c>
      <c r="J19" s="32" t="str">
        <f>IF(OR(G19="",I19=""),"",SUM(BusinessTable[[#This Row],[Direct]:[Indirect WTT]]))</f>
        <v/>
      </c>
      <c r="K19" s="122"/>
      <c r="L19" s="210" t="str">
        <f t="array" ref="L19">IF(OR($C19="",$E19=""),"",(INDEX('Ffactorau Allyriadau'!$K$3:$V$201,MATCH($B19&amp;$C19&amp;$D19,'Ffactorau Allyriadau'!$J$3:$J$201&amp;'Ffactorau Allyriadau'!$K$3:$K$201&amp;'Ffactorau Allyriadau'!$L$3:$L$201,0),MATCH(L$7,'Ffactorau Allyriadau'!$K$2:$V$2,0)))*$G19)</f>
        <v/>
      </c>
      <c r="M19" s="210" t="str">
        <f t="array" ref="M19">IF(OR($C19="",$E19=""),"",(INDEX('Ffactorau Allyriadau'!$K$3:$V$201,MATCH($B19&amp;$C19&amp;$D19,'Ffactorau Allyriadau'!$J$3:$J$201&amp;'Ffactorau Allyriadau'!$K$3:$K$201&amp;'Ffactorau Allyriadau'!$L$3:$L$201,0),MATCH(M$7,'Ffactorau Allyriadau'!$K$2:$V$2,0)))*$G19)</f>
        <v/>
      </c>
      <c r="N19" s="210" t="str">
        <f t="array" ref="N19">IF(OR($C19="",$E19=""),"",(INDEX('Ffactorau Allyriadau'!$K$3:$V$201,MATCH($B19&amp;$C19&amp;$D19,'Ffactorau Allyriadau'!$J$3:$J$201&amp;'Ffactorau Allyriadau'!$K$3:$K$201&amp;'Ffactorau Allyriadau'!$L$3:$L$201,0),MATCH(N$7,'Ffactorau Allyriadau'!$K$2:$V$2,0)))*$G19)</f>
        <v/>
      </c>
      <c r="O19" s="210" t="str">
        <f t="array" ref="O19">IF(OR($C19="",$E19=""),"",(INDEX('Ffactorau Allyriadau'!$K$3:$V$201,MATCH($B19&amp;$C19&amp;$D19,'Ffactorau Allyriadau'!$J$3:$J$201&amp;'Ffactorau Allyriadau'!$K$3:$K$201&amp;'Ffactorau Allyriadau'!$L$3:$L$201,0),MATCH(O$7,'Ffactorau Allyriadau'!$K$2:$V$2,0)))*$G19)</f>
        <v/>
      </c>
      <c r="P19" s="210" t="str">
        <f t="array" ref="P19">IF(OR($C19="",$E19=""),"",(INDEX('Ffactorau Allyriadau'!$K$3:$V$201,MATCH($B19&amp;$C19&amp;$D19,'Ffactorau Allyriadau'!$J$3:$J$201&amp;'Ffactorau Allyriadau'!$K$3:$K$201&amp;'Ffactorau Allyriadau'!$L$3:$L$201,0),MATCH(P$7,'Ffactorau Allyriadau'!$K$2:$V$2,0)))*$G19)</f>
        <v/>
      </c>
    </row>
    <row r="20" spans="1:22" ht="15" thickBot="1" x14ac:dyDescent="0.4">
      <c r="A20" s="26"/>
      <c r="B20" s="173"/>
      <c r="C20" s="123"/>
      <c r="D20" s="123"/>
      <c r="E20" s="120"/>
      <c r="F20" s="123"/>
      <c r="G20" s="30" t="str">
        <f t="array" ref="G20">IF(OR($B20="",$C20="",$D20="",F20=""),"",IF(F20=H20,E20,(INDEX('Ffactorau Allyriadau'!$K$3:$V$276,MATCH($B20&amp;$C20&amp;$D20,'Ffactorau Allyriadau'!$J$3:$J$276&amp;'Ffactorau Allyriadau'!$K$3:$K$276&amp;'Ffactorau Allyriadau'!$L$3:$L$276,0),MATCH('Teithio i’r Ysgol a Theithiau S'!G$7,'Ffactorau Allyriadau'!$K$2:$V$2,0)))*E20))</f>
        <v/>
      </c>
      <c r="H20" s="29" t="str">
        <f t="array" ref="H20">IF(OR($B20="",$C20="",$E20=""),"",INDEX('Ffactorau Allyriadau'!$K$3:$V$276,MATCH($B20&amp;$C20&amp;$D20,'Ffactorau Allyriadau'!$J$3:$J$276&amp;'Ffactorau Allyriadau'!$K$3:$K$276&amp;'Ffactorau Allyriadau'!$L$3:$L$276,0),MATCH('Teithio i’r Ysgol a Theithiau S'!H$7,'Ffactorau Allyriadau'!$K$2:$V$2,0)))</f>
        <v/>
      </c>
      <c r="I20" s="29" t="str">
        <f t="array" ref="I20">IF(OR(B20="",C20="",D20=""),"",INDEX('Ffactorau Allyriadau'!$K$3:$V$276,MATCH($B20&amp;$C20&amp;$D20,'Ffactorau Allyriadau'!$J$3:$J$276&amp;'Ffactorau Allyriadau'!$K$3:$K$276&amp;'Ffactorau Allyriadau'!$L$3:$L$276,0),MATCH('Teithio i’r Ysgol a Theithiau S'!I$7,'Ffactorau Allyriadau'!$K$2:$V$2,0)))</f>
        <v/>
      </c>
      <c r="J20" s="32" t="str">
        <f>IF(OR(G20="",I20=""),"",SUM(BusinessTable[[#This Row],[Direct]:[Indirect WTT]]))</f>
        <v/>
      </c>
      <c r="K20" s="122"/>
      <c r="L20" s="210" t="str">
        <f t="array" ref="L20">IF(OR($C20="",$E20=""),"",(INDEX('Ffactorau Allyriadau'!$K$3:$V$201,MATCH($B20&amp;$C20&amp;$D20,'Ffactorau Allyriadau'!$J$3:$J$201&amp;'Ffactorau Allyriadau'!$K$3:$K$201&amp;'Ffactorau Allyriadau'!$L$3:$L$201,0),MATCH(L$7,'Ffactorau Allyriadau'!$K$2:$V$2,0)))*$G20)</f>
        <v/>
      </c>
      <c r="M20" s="210" t="str">
        <f t="array" ref="M20">IF(OR($C20="",$E20=""),"",(INDEX('Ffactorau Allyriadau'!$K$3:$V$201,MATCH($B20&amp;$C20&amp;$D20,'Ffactorau Allyriadau'!$J$3:$J$201&amp;'Ffactorau Allyriadau'!$K$3:$K$201&amp;'Ffactorau Allyriadau'!$L$3:$L$201,0),MATCH(M$7,'Ffactorau Allyriadau'!$K$2:$V$2,0)))*$G20)</f>
        <v/>
      </c>
      <c r="N20" s="210" t="str">
        <f t="array" ref="N20">IF(OR($C20="",$E20=""),"",(INDEX('Ffactorau Allyriadau'!$K$3:$V$201,MATCH($B20&amp;$C20&amp;$D20,'Ffactorau Allyriadau'!$J$3:$J$201&amp;'Ffactorau Allyriadau'!$K$3:$K$201&amp;'Ffactorau Allyriadau'!$L$3:$L$201,0),MATCH(N$7,'Ffactorau Allyriadau'!$K$2:$V$2,0)))*$G20)</f>
        <v/>
      </c>
      <c r="O20" s="210" t="str">
        <f t="array" ref="O20">IF(OR($C20="",$E20=""),"",(INDEX('Ffactorau Allyriadau'!$K$3:$V$201,MATCH($B20&amp;$C20&amp;$D20,'Ffactorau Allyriadau'!$J$3:$J$201&amp;'Ffactorau Allyriadau'!$K$3:$K$201&amp;'Ffactorau Allyriadau'!$L$3:$L$201,0),MATCH(O$7,'Ffactorau Allyriadau'!$K$2:$V$2,0)))*$G20)</f>
        <v/>
      </c>
      <c r="P20" s="210" t="str">
        <f t="array" ref="P20">IF(OR($C20="",$E20=""),"",(INDEX('Ffactorau Allyriadau'!$K$3:$V$201,MATCH($B20&amp;$C20&amp;$D20,'Ffactorau Allyriadau'!$J$3:$J$201&amp;'Ffactorau Allyriadau'!$K$3:$K$201&amp;'Ffactorau Allyriadau'!$L$3:$L$201,0),MATCH(P$7,'Ffactorau Allyriadau'!$K$2:$V$2,0)))*$G20)</f>
        <v/>
      </c>
    </row>
    <row r="21" spans="1:22" ht="15" thickBot="1" x14ac:dyDescent="0.4">
      <c r="A21" s="26"/>
      <c r="B21" s="173"/>
      <c r="C21" s="123"/>
      <c r="D21" s="123"/>
      <c r="E21" s="120"/>
      <c r="F21" s="123"/>
      <c r="G21" s="30" t="str">
        <f t="array" ref="G21">IF(OR($B21="",$C21="",$D21="",F21=""),"",IF(F21=H21,E21,(INDEX('Ffactorau Allyriadau'!$K$3:$V$276,MATCH($B21&amp;$C21&amp;$D21,'Ffactorau Allyriadau'!$J$3:$J$276&amp;'Ffactorau Allyriadau'!$K$3:$K$276&amp;'Ffactorau Allyriadau'!$L$3:$L$276,0),MATCH('Teithio i’r Ysgol a Theithiau S'!G$7,'Ffactorau Allyriadau'!$K$2:$V$2,0)))*E21))</f>
        <v/>
      </c>
      <c r="H21" s="29" t="str">
        <f t="array" ref="H21">IF(OR($B21="",$C21="",$E21=""),"",INDEX('Ffactorau Allyriadau'!$K$3:$V$276,MATCH($B21&amp;$C21&amp;$D21,'Ffactorau Allyriadau'!$J$3:$J$276&amp;'Ffactorau Allyriadau'!$K$3:$K$276&amp;'Ffactorau Allyriadau'!$L$3:$L$276,0),MATCH('Teithio i’r Ysgol a Theithiau S'!H$7,'Ffactorau Allyriadau'!$K$2:$V$2,0)))</f>
        <v/>
      </c>
      <c r="I21" s="29" t="str">
        <f t="array" ref="I21">IF(OR(B21="",C21="",D21=""),"",INDEX('Ffactorau Allyriadau'!$K$3:$V$276,MATCH($B21&amp;$C21&amp;$D21,'Ffactorau Allyriadau'!$J$3:$J$276&amp;'Ffactorau Allyriadau'!$K$3:$K$276&amp;'Ffactorau Allyriadau'!$L$3:$L$276,0),MATCH('Teithio i’r Ysgol a Theithiau S'!I$7,'Ffactorau Allyriadau'!$K$2:$V$2,0)))</f>
        <v/>
      </c>
      <c r="J21" s="32" t="str">
        <f>IF(OR(G21="",I21=""),"",SUM(BusinessTable[[#This Row],[Direct]:[Indirect WTT]]))</f>
        <v/>
      </c>
      <c r="K21" s="122"/>
      <c r="L21" s="210" t="str">
        <f t="array" ref="L21">IF(OR($C21="",$E21=""),"",(INDEX('Ffactorau Allyriadau'!$K$3:$V$201,MATCH($B21&amp;$C21&amp;$D21,'Ffactorau Allyriadau'!$J$3:$J$201&amp;'Ffactorau Allyriadau'!$K$3:$K$201&amp;'Ffactorau Allyriadau'!$L$3:$L$201,0),MATCH(L$7,'Ffactorau Allyriadau'!$K$2:$V$2,0)))*$G21)</f>
        <v/>
      </c>
      <c r="M21" s="210" t="str">
        <f t="array" ref="M21">IF(OR($C21="",$E21=""),"",(INDEX('Ffactorau Allyriadau'!$K$3:$V$201,MATCH($B21&amp;$C21&amp;$D21,'Ffactorau Allyriadau'!$J$3:$J$201&amp;'Ffactorau Allyriadau'!$K$3:$K$201&amp;'Ffactorau Allyriadau'!$L$3:$L$201,0),MATCH(M$7,'Ffactorau Allyriadau'!$K$2:$V$2,0)))*$G21)</f>
        <v/>
      </c>
      <c r="N21" s="210" t="str">
        <f t="array" ref="N21">IF(OR($C21="",$E21=""),"",(INDEX('Ffactorau Allyriadau'!$K$3:$V$201,MATCH($B21&amp;$C21&amp;$D21,'Ffactorau Allyriadau'!$J$3:$J$201&amp;'Ffactorau Allyriadau'!$K$3:$K$201&amp;'Ffactorau Allyriadau'!$L$3:$L$201,0),MATCH(N$7,'Ffactorau Allyriadau'!$K$2:$V$2,0)))*$G21)</f>
        <v/>
      </c>
      <c r="O21" s="210" t="str">
        <f t="array" ref="O21">IF(OR($C21="",$E21=""),"",(INDEX('Ffactorau Allyriadau'!$K$3:$V$201,MATCH($B21&amp;$C21&amp;$D21,'Ffactorau Allyriadau'!$J$3:$J$201&amp;'Ffactorau Allyriadau'!$K$3:$K$201&amp;'Ffactorau Allyriadau'!$L$3:$L$201,0),MATCH(O$7,'Ffactorau Allyriadau'!$K$2:$V$2,0)))*$G21)</f>
        <v/>
      </c>
      <c r="P21" s="210" t="str">
        <f t="array" ref="P21">IF(OR($C21="",$E21=""),"",(INDEX('Ffactorau Allyriadau'!$K$3:$V$201,MATCH($B21&amp;$C21&amp;$D21,'Ffactorau Allyriadau'!$J$3:$J$201&amp;'Ffactorau Allyriadau'!$K$3:$K$201&amp;'Ffactorau Allyriadau'!$L$3:$L$201,0),MATCH(P$7,'Ffactorau Allyriadau'!$K$2:$V$2,0)))*$G21)</f>
        <v/>
      </c>
    </row>
    <row r="22" spans="1:22" ht="15" thickBot="1" x14ac:dyDescent="0.4">
      <c r="A22" s="26"/>
      <c r="B22" s="173"/>
      <c r="C22" s="123"/>
      <c r="D22" s="123"/>
      <c r="E22" s="120"/>
      <c r="F22" s="123"/>
      <c r="G22" s="30" t="str">
        <f t="array" ref="G22">IF(OR($B22="",$C22="",$D22="",F22=""),"",IF(F22=H22,E22,(INDEX('Ffactorau Allyriadau'!$K$3:$V$276,MATCH($B22&amp;$C22&amp;$D22,'Ffactorau Allyriadau'!$J$3:$J$276&amp;'Ffactorau Allyriadau'!$K$3:$K$276&amp;'Ffactorau Allyriadau'!$L$3:$L$276,0),MATCH('Teithio i’r Ysgol a Theithiau S'!G$7,'Ffactorau Allyriadau'!$K$2:$V$2,0)))*E22))</f>
        <v/>
      </c>
      <c r="H22" s="29" t="str">
        <f t="array" ref="H22">IF(OR($B22="",$C22="",$E22=""),"",INDEX('Ffactorau Allyriadau'!$K$3:$V$276,MATCH($B22&amp;$C22&amp;$D22,'Ffactorau Allyriadau'!$J$3:$J$276&amp;'Ffactorau Allyriadau'!$K$3:$K$276&amp;'Ffactorau Allyriadau'!$L$3:$L$276,0),MATCH('Teithio i’r Ysgol a Theithiau S'!H$7,'Ffactorau Allyriadau'!$K$2:$V$2,0)))</f>
        <v/>
      </c>
      <c r="I22" s="29" t="str">
        <f t="array" ref="I22">IF(OR(B22="",C22="",D22=""),"",INDEX('Ffactorau Allyriadau'!$K$3:$V$276,MATCH($B22&amp;$C22&amp;$D22,'Ffactorau Allyriadau'!$J$3:$J$276&amp;'Ffactorau Allyriadau'!$K$3:$K$276&amp;'Ffactorau Allyriadau'!$L$3:$L$276,0),MATCH('Teithio i’r Ysgol a Theithiau S'!I$7,'Ffactorau Allyriadau'!$K$2:$V$2,0)))</f>
        <v/>
      </c>
      <c r="J22" s="32" t="str">
        <f>IF(OR(G22="",I22=""),"",SUM(BusinessTable[[#This Row],[Direct]:[Indirect WTT]]))</f>
        <v/>
      </c>
      <c r="K22" s="122"/>
      <c r="L22" s="210" t="str">
        <f t="array" ref="L22">IF(OR($C22="",$E22=""),"",(INDEX('Ffactorau Allyriadau'!$K$3:$V$201,MATCH($B22&amp;$C22&amp;$D22,'Ffactorau Allyriadau'!$J$3:$J$201&amp;'Ffactorau Allyriadau'!$K$3:$K$201&amp;'Ffactorau Allyriadau'!$L$3:$L$201,0),MATCH(L$7,'Ffactorau Allyriadau'!$K$2:$V$2,0)))*$G22)</f>
        <v/>
      </c>
      <c r="M22" s="210" t="str">
        <f t="array" ref="M22">IF(OR($C22="",$E22=""),"",(INDEX('Ffactorau Allyriadau'!$K$3:$V$201,MATCH($B22&amp;$C22&amp;$D22,'Ffactorau Allyriadau'!$J$3:$J$201&amp;'Ffactorau Allyriadau'!$K$3:$K$201&amp;'Ffactorau Allyriadau'!$L$3:$L$201,0),MATCH(M$7,'Ffactorau Allyriadau'!$K$2:$V$2,0)))*$G22)</f>
        <v/>
      </c>
      <c r="N22" s="210" t="str">
        <f t="array" ref="N22">IF(OR($C22="",$E22=""),"",(INDEX('Ffactorau Allyriadau'!$K$3:$V$201,MATCH($B22&amp;$C22&amp;$D22,'Ffactorau Allyriadau'!$J$3:$J$201&amp;'Ffactorau Allyriadau'!$K$3:$K$201&amp;'Ffactorau Allyriadau'!$L$3:$L$201,0),MATCH(N$7,'Ffactorau Allyriadau'!$K$2:$V$2,0)))*$G22)</f>
        <v/>
      </c>
      <c r="O22" s="210" t="str">
        <f t="array" ref="O22">IF(OR($C22="",$E22=""),"",(INDEX('Ffactorau Allyriadau'!$K$3:$V$201,MATCH($B22&amp;$C22&amp;$D22,'Ffactorau Allyriadau'!$J$3:$J$201&amp;'Ffactorau Allyriadau'!$K$3:$K$201&amp;'Ffactorau Allyriadau'!$L$3:$L$201,0),MATCH(O$7,'Ffactorau Allyriadau'!$K$2:$V$2,0)))*$G22)</f>
        <v/>
      </c>
      <c r="P22" s="210" t="str">
        <f t="array" ref="P22">IF(OR($C22="",$E22=""),"",(INDEX('Ffactorau Allyriadau'!$K$3:$V$201,MATCH($B22&amp;$C22&amp;$D22,'Ffactorau Allyriadau'!$J$3:$J$201&amp;'Ffactorau Allyriadau'!$K$3:$K$201&amp;'Ffactorau Allyriadau'!$L$3:$L$201,0),MATCH(P$7,'Ffactorau Allyriadau'!$K$2:$V$2,0)))*$G22)</f>
        <v/>
      </c>
    </row>
    <row r="23" spans="1:22" ht="15" thickBot="1" x14ac:dyDescent="0.4">
      <c r="A23" s="26"/>
      <c r="B23" s="173"/>
      <c r="C23" s="123"/>
      <c r="D23" s="123"/>
      <c r="E23" s="120"/>
      <c r="F23" s="123"/>
      <c r="G23" s="30" t="str">
        <f t="array" ref="G23">IF(OR($B23="",$C23="",$D23="",F23=""),"",IF(F23=H23,E23,(INDEX('Ffactorau Allyriadau'!$K$3:$V$276,MATCH($B23&amp;$C23&amp;$D23,'Ffactorau Allyriadau'!$J$3:$J$276&amp;'Ffactorau Allyriadau'!$K$3:$K$276&amp;'Ffactorau Allyriadau'!$L$3:$L$276,0),MATCH('Teithio i’r Ysgol a Theithiau S'!G$7,'Ffactorau Allyriadau'!$K$2:$V$2,0)))*E23))</f>
        <v/>
      </c>
      <c r="H23" s="29" t="str">
        <f t="array" ref="H23">IF(OR($B23="",$C23="",$E23=""),"",INDEX('Ffactorau Allyriadau'!$K$3:$V$276,MATCH($B23&amp;$C23&amp;$D23,'Ffactorau Allyriadau'!$J$3:$J$276&amp;'Ffactorau Allyriadau'!$K$3:$K$276&amp;'Ffactorau Allyriadau'!$L$3:$L$276,0),MATCH('Teithio i’r Ysgol a Theithiau S'!H$7,'Ffactorau Allyriadau'!$K$2:$V$2,0)))</f>
        <v/>
      </c>
      <c r="I23" s="29" t="str">
        <f t="array" ref="I23">IF(OR(B23="",C23="",D23=""),"",INDEX('Ffactorau Allyriadau'!$K$3:$V$276,MATCH($B23&amp;$C23&amp;$D23,'Ffactorau Allyriadau'!$J$3:$J$276&amp;'Ffactorau Allyriadau'!$K$3:$K$276&amp;'Ffactorau Allyriadau'!$L$3:$L$276,0),MATCH('Teithio i’r Ysgol a Theithiau S'!I$7,'Ffactorau Allyriadau'!$K$2:$V$2,0)))</f>
        <v/>
      </c>
      <c r="J23" s="32" t="str">
        <f>IF(OR(G23="",I23=""),"",SUM(BusinessTable[[#This Row],[Direct]:[Indirect WTT]]))</f>
        <v/>
      </c>
      <c r="K23" s="122"/>
      <c r="L23" s="210" t="str">
        <f t="array" ref="L23">IF(OR($C23="",$E23=""),"",(INDEX('Ffactorau Allyriadau'!$K$3:$V$201,MATCH($B23&amp;$C23&amp;$D23,'Ffactorau Allyriadau'!$J$3:$J$201&amp;'Ffactorau Allyriadau'!$K$3:$K$201&amp;'Ffactorau Allyriadau'!$L$3:$L$201,0),MATCH(L$7,'Ffactorau Allyriadau'!$K$2:$V$2,0)))*$G23)</f>
        <v/>
      </c>
      <c r="M23" s="210" t="str">
        <f t="array" ref="M23">IF(OR($C23="",$E23=""),"",(INDEX('Ffactorau Allyriadau'!$K$3:$V$201,MATCH($B23&amp;$C23&amp;$D23,'Ffactorau Allyriadau'!$J$3:$J$201&amp;'Ffactorau Allyriadau'!$K$3:$K$201&amp;'Ffactorau Allyriadau'!$L$3:$L$201,0),MATCH(M$7,'Ffactorau Allyriadau'!$K$2:$V$2,0)))*$G23)</f>
        <v/>
      </c>
      <c r="N23" s="210" t="str">
        <f t="array" ref="N23">IF(OR($C23="",$E23=""),"",(INDEX('Ffactorau Allyriadau'!$K$3:$V$201,MATCH($B23&amp;$C23&amp;$D23,'Ffactorau Allyriadau'!$J$3:$J$201&amp;'Ffactorau Allyriadau'!$K$3:$K$201&amp;'Ffactorau Allyriadau'!$L$3:$L$201,0),MATCH(N$7,'Ffactorau Allyriadau'!$K$2:$V$2,0)))*$G23)</f>
        <v/>
      </c>
      <c r="O23" s="210" t="str">
        <f t="array" ref="O23">IF(OR($C23="",$E23=""),"",(INDEX('Ffactorau Allyriadau'!$K$3:$V$201,MATCH($B23&amp;$C23&amp;$D23,'Ffactorau Allyriadau'!$J$3:$J$201&amp;'Ffactorau Allyriadau'!$K$3:$K$201&amp;'Ffactorau Allyriadau'!$L$3:$L$201,0),MATCH(O$7,'Ffactorau Allyriadau'!$K$2:$V$2,0)))*$G23)</f>
        <v/>
      </c>
      <c r="P23" s="210" t="str">
        <f t="array" ref="P23">IF(OR($C23="",$E23=""),"",(INDEX('Ffactorau Allyriadau'!$K$3:$V$201,MATCH($B23&amp;$C23&amp;$D23,'Ffactorau Allyriadau'!$J$3:$J$201&amp;'Ffactorau Allyriadau'!$K$3:$K$201&amp;'Ffactorau Allyriadau'!$L$3:$L$201,0),MATCH(P$7,'Ffactorau Allyriadau'!$K$2:$V$2,0)))*$G23)</f>
        <v/>
      </c>
    </row>
    <row r="24" spans="1:22" ht="15" thickBot="1" x14ac:dyDescent="0.4">
      <c r="A24" s="26"/>
      <c r="B24" s="173"/>
      <c r="C24" s="123"/>
      <c r="D24" s="123"/>
      <c r="E24" s="120"/>
      <c r="F24" s="123"/>
      <c r="G24" s="30" t="str">
        <f t="array" ref="G24">IF(OR($B24="",$C24="",$D24="",F24=""),"",IF(F24=H24,E24,(INDEX('Ffactorau Allyriadau'!$K$3:$V$276,MATCH($B24&amp;$C24&amp;$D24,'Ffactorau Allyriadau'!$J$3:$J$276&amp;'Ffactorau Allyriadau'!$K$3:$K$276&amp;'Ffactorau Allyriadau'!$L$3:$L$276,0),MATCH('Teithio i’r Ysgol a Theithiau S'!G$7,'Ffactorau Allyriadau'!$K$2:$V$2,0)))*E24))</f>
        <v/>
      </c>
      <c r="H24" s="29" t="str">
        <f t="array" ref="H24">IF(OR($B24="",$C24="",$E24=""),"",INDEX('Ffactorau Allyriadau'!$K$3:$V$276,MATCH($B24&amp;$C24&amp;$D24,'Ffactorau Allyriadau'!$J$3:$J$276&amp;'Ffactorau Allyriadau'!$K$3:$K$276&amp;'Ffactorau Allyriadau'!$L$3:$L$276,0),MATCH('Teithio i’r Ysgol a Theithiau S'!H$7,'Ffactorau Allyriadau'!$K$2:$V$2,0)))</f>
        <v/>
      </c>
      <c r="I24" s="29" t="str">
        <f t="array" ref="I24">IF(OR(B24="",C24="",D24=""),"",INDEX('Ffactorau Allyriadau'!$K$3:$V$276,MATCH($B24&amp;$C24&amp;$D24,'Ffactorau Allyriadau'!$J$3:$J$276&amp;'Ffactorau Allyriadau'!$K$3:$K$276&amp;'Ffactorau Allyriadau'!$L$3:$L$276,0),MATCH('Teithio i’r Ysgol a Theithiau S'!I$7,'Ffactorau Allyriadau'!$K$2:$V$2,0)))</f>
        <v/>
      </c>
      <c r="J24" s="32" t="str">
        <f>IF(OR(G24="",I24=""),"",SUM(BusinessTable[[#This Row],[Direct]:[Indirect WTT]]))</f>
        <v/>
      </c>
      <c r="K24" s="122"/>
      <c r="L24" s="210" t="str">
        <f t="array" ref="L24">IF(OR($C24="",$E24=""),"",(INDEX('Ffactorau Allyriadau'!$K$3:$V$201,MATCH($B24&amp;$C24&amp;$D24,'Ffactorau Allyriadau'!$J$3:$J$201&amp;'Ffactorau Allyriadau'!$K$3:$K$201&amp;'Ffactorau Allyriadau'!$L$3:$L$201,0),MATCH(L$7,'Ffactorau Allyriadau'!$K$2:$V$2,0)))*$G24)</f>
        <v/>
      </c>
      <c r="M24" s="210" t="str">
        <f t="array" ref="M24">IF(OR($C24="",$E24=""),"",(INDEX('Ffactorau Allyriadau'!$K$3:$V$201,MATCH($B24&amp;$C24&amp;$D24,'Ffactorau Allyriadau'!$J$3:$J$201&amp;'Ffactorau Allyriadau'!$K$3:$K$201&amp;'Ffactorau Allyriadau'!$L$3:$L$201,0),MATCH(M$7,'Ffactorau Allyriadau'!$K$2:$V$2,0)))*$G24)</f>
        <v/>
      </c>
      <c r="N24" s="210" t="str">
        <f t="array" ref="N24">IF(OR($C24="",$E24=""),"",(INDEX('Ffactorau Allyriadau'!$K$3:$V$201,MATCH($B24&amp;$C24&amp;$D24,'Ffactorau Allyriadau'!$J$3:$J$201&amp;'Ffactorau Allyriadau'!$K$3:$K$201&amp;'Ffactorau Allyriadau'!$L$3:$L$201,0),MATCH(N$7,'Ffactorau Allyriadau'!$K$2:$V$2,0)))*$G24)</f>
        <v/>
      </c>
      <c r="O24" s="210" t="str">
        <f t="array" ref="O24">IF(OR($C24="",$E24=""),"",(INDEX('Ffactorau Allyriadau'!$K$3:$V$201,MATCH($B24&amp;$C24&amp;$D24,'Ffactorau Allyriadau'!$J$3:$J$201&amp;'Ffactorau Allyriadau'!$K$3:$K$201&amp;'Ffactorau Allyriadau'!$L$3:$L$201,0),MATCH(O$7,'Ffactorau Allyriadau'!$K$2:$V$2,0)))*$G24)</f>
        <v/>
      </c>
      <c r="P24" s="210" t="str">
        <f t="array" ref="P24">IF(OR($C24="",$E24=""),"",(INDEX('Ffactorau Allyriadau'!$K$3:$V$201,MATCH($B24&amp;$C24&amp;$D24,'Ffactorau Allyriadau'!$J$3:$J$201&amp;'Ffactorau Allyriadau'!$K$3:$K$201&amp;'Ffactorau Allyriadau'!$L$3:$L$201,0),MATCH(P$7,'Ffactorau Allyriadau'!$K$2:$V$2,0)))*$G24)</f>
        <v/>
      </c>
    </row>
    <row r="25" spans="1:22" ht="15" thickBot="1" x14ac:dyDescent="0.4">
      <c r="A25" s="26"/>
      <c r="B25" s="173"/>
      <c r="C25" s="123"/>
      <c r="D25" s="123"/>
      <c r="E25" s="120"/>
      <c r="F25" s="123"/>
      <c r="G25" s="30" t="str">
        <f t="array" ref="G25">IF(OR($B25="",$C25="",$D25="",F25=""),"",IF(F25=H25,E25,(INDEX('Ffactorau Allyriadau'!$K$3:$V$276,MATCH($B25&amp;$C25&amp;$D25,'Ffactorau Allyriadau'!$J$3:$J$276&amp;'Ffactorau Allyriadau'!$K$3:$K$276&amp;'Ffactorau Allyriadau'!$L$3:$L$276,0),MATCH('Teithio i’r Ysgol a Theithiau S'!G$7,'Ffactorau Allyriadau'!$K$2:$V$2,0)))*E25))</f>
        <v/>
      </c>
      <c r="H25" s="29" t="str">
        <f t="array" ref="H25">IF(OR($B25="",$C25="",$E25=""),"",INDEX('Ffactorau Allyriadau'!$K$3:$V$276,MATCH($B25&amp;$C25&amp;$D25,'Ffactorau Allyriadau'!$J$3:$J$276&amp;'Ffactorau Allyriadau'!$K$3:$K$276&amp;'Ffactorau Allyriadau'!$L$3:$L$276,0),MATCH('Teithio i’r Ysgol a Theithiau S'!H$7,'Ffactorau Allyriadau'!$K$2:$V$2,0)))</f>
        <v/>
      </c>
      <c r="I25" s="29" t="str">
        <f t="array" ref="I25">IF(OR(B25="",C25="",D25=""),"",INDEX('Ffactorau Allyriadau'!$K$3:$V$276,MATCH($B25&amp;$C25&amp;$D25,'Ffactorau Allyriadau'!$J$3:$J$276&amp;'Ffactorau Allyriadau'!$K$3:$K$276&amp;'Ffactorau Allyriadau'!$L$3:$L$276,0),MATCH('Teithio i’r Ysgol a Theithiau S'!I$7,'Ffactorau Allyriadau'!$K$2:$V$2,0)))</f>
        <v/>
      </c>
      <c r="J25" s="32" t="str">
        <f>IF(OR(G25="",I25=""),"",SUM(BusinessTable[[#This Row],[Direct]:[Indirect WTT]]))</f>
        <v/>
      </c>
      <c r="K25" s="122"/>
      <c r="L25" s="210" t="str">
        <f t="array" ref="L25">IF(OR($C25="",$E25=""),"",(INDEX('Ffactorau Allyriadau'!$K$3:$V$201,MATCH($B25&amp;$C25&amp;$D25,'Ffactorau Allyriadau'!$J$3:$J$201&amp;'Ffactorau Allyriadau'!$K$3:$K$201&amp;'Ffactorau Allyriadau'!$L$3:$L$201,0),MATCH(L$7,'Ffactorau Allyriadau'!$K$2:$V$2,0)))*$G25)</f>
        <v/>
      </c>
      <c r="M25" s="210" t="str">
        <f t="array" ref="M25">IF(OR($C25="",$E25=""),"",(INDEX('Ffactorau Allyriadau'!$K$3:$V$201,MATCH($B25&amp;$C25&amp;$D25,'Ffactorau Allyriadau'!$J$3:$J$201&amp;'Ffactorau Allyriadau'!$K$3:$K$201&amp;'Ffactorau Allyriadau'!$L$3:$L$201,0),MATCH(M$7,'Ffactorau Allyriadau'!$K$2:$V$2,0)))*$G25)</f>
        <v/>
      </c>
      <c r="N25" s="210" t="str">
        <f t="array" ref="N25">IF(OR($C25="",$E25=""),"",(INDEX('Ffactorau Allyriadau'!$K$3:$V$201,MATCH($B25&amp;$C25&amp;$D25,'Ffactorau Allyriadau'!$J$3:$J$201&amp;'Ffactorau Allyriadau'!$K$3:$K$201&amp;'Ffactorau Allyriadau'!$L$3:$L$201,0),MATCH(N$7,'Ffactorau Allyriadau'!$K$2:$V$2,0)))*$G25)</f>
        <v/>
      </c>
      <c r="O25" s="210" t="str">
        <f t="array" ref="O25">IF(OR($C25="",$E25=""),"",(INDEX('Ffactorau Allyriadau'!$K$3:$V$201,MATCH($B25&amp;$C25&amp;$D25,'Ffactorau Allyriadau'!$J$3:$J$201&amp;'Ffactorau Allyriadau'!$K$3:$K$201&amp;'Ffactorau Allyriadau'!$L$3:$L$201,0),MATCH(O$7,'Ffactorau Allyriadau'!$K$2:$V$2,0)))*$G25)</f>
        <v/>
      </c>
      <c r="P25" s="210" t="str">
        <f t="array" ref="P25">IF(OR($C25="",$E25=""),"",(INDEX('Ffactorau Allyriadau'!$K$3:$V$201,MATCH($B25&amp;$C25&amp;$D25,'Ffactorau Allyriadau'!$J$3:$J$201&amp;'Ffactorau Allyriadau'!$K$3:$K$201&amp;'Ffactorau Allyriadau'!$L$3:$L$201,0),MATCH(P$7,'Ffactorau Allyriadau'!$K$2:$V$2,0)))*$G25)</f>
        <v/>
      </c>
    </row>
    <row r="26" spans="1:22" ht="15" thickBot="1" x14ac:dyDescent="0.4">
      <c r="A26" s="26"/>
      <c r="B26" s="173"/>
      <c r="C26" s="123"/>
      <c r="D26" s="123"/>
      <c r="E26" s="120"/>
      <c r="F26" s="123"/>
      <c r="G26" s="30" t="str">
        <f t="array" ref="G26">IF(OR($B26="",$C26="",$D26="",F26=""),"",IF(F26=H26,E26,(INDEX('Ffactorau Allyriadau'!$K$3:$V$276,MATCH($B26&amp;$C26&amp;$D26,'Ffactorau Allyriadau'!$J$3:$J$276&amp;'Ffactorau Allyriadau'!$K$3:$K$276&amp;'Ffactorau Allyriadau'!$L$3:$L$276,0),MATCH('Teithio i’r Ysgol a Theithiau S'!G$7,'Ffactorau Allyriadau'!$K$2:$V$2,0)))*E26))</f>
        <v/>
      </c>
      <c r="H26" s="29" t="str">
        <f t="array" ref="H26">IF(OR($B26="",$C26="",$E26=""),"",INDEX('Ffactorau Allyriadau'!$K$3:$V$276,MATCH($B26&amp;$C26&amp;$D26,'Ffactorau Allyriadau'!$J$3:$J$276&amp;'Ffactorau Allyriadau'!$K$3:$K$276&amp;'Ffactorau Allyriadau'!$L$3:$L$276,0),MATCH('Teithio i’r Ysgol a Theithiau S'!H$7,'Ffactorau Allyriadau'!$K$2:$V$2,0)))</f>
        <v/>
      </c>
      <c r="I26" s="29" t="str">
        <f t="array" ref="I26">IF(OR(B26="",C26="",D26=""),"",INDEX('Ffactorau Allyriadau'!$K$3:$V$276,MATCH($B26&amp;$C26&amp;$D26,'Ffactorau Allyriadau'!$J$3:$J$276&amp;'Ffactorau Allyriadau'!$K$3:$K$276&amp;'Ffactorau Allyriadau'!$L$3:$L$276,0),MATCH('Teithio i’r Ysgol a Theithiau S'!I$7,'Ffactorau Allyriadau'!$K$2:$V$2,0)))</f>
        <v/>
      </c>
      <c r="J26" s="32" t="str">
        <f>IF(OR(G26="",I26=""),"",SUM(BusinessTable[[#This Row],[Direct]:[Indirect WTT]]))</f>
        <v/>
      </c>
      <c r="K26" s="122"/>
      <c r="L26" s="210" t="str">
        <f t="array" ref="L26">IF(OR($C26="",$E26=""),"",(INDEX('Ffactorau Allyriadau'!$K$3:$V$201,MATCH($B26&amp;$C26&amp;$D26,'Ffactorau Allyriadau'!$J$3:$J$201&amp;'Ffactorau Allyriadau'!$K$3:$K$201&amp;'Ffactorau Allyriadau'!$L$3:$L$201,0),MATCH(L$7,'Ffactorau Allyriadau'!$K$2:$V$2,0)))*$G26)</f>
        <v/>
      </c>
      <c r="M26" s="210" t="str">
        <f t="array" ref="M26">IF(OR($C26="",$E26=""),"",(INDEX('Ffactorau Allyriadau'!$K$3:$V$201,MATCH($B26&amp;$C26&amp;$D26,'Ffactorau Allyriadau'!$J$3:$J$201&amp;'Ffactorau Allyriadau'!$K$3:$K$201&amp;'Ffactorau Allyriadau'!$L$3:$L$201,0),MATCH(M$7,'Ffactorau Allyriadau'!$K$2:$V$2,0)))*$G26)</f>
        <v/>
      </c>
      <c r="N26" s="210" t="str">
        <f t="array" ref="N26">IF(OR($C26="",$E26=""),"",(INDEX('Ffactorau Allyriadau'!$K$3:$V$201,MATCH($B26&amp;$C26&amp;$D26,'Ffactorau Allyriadau'!$J$3:$J$201&amp;'Ffactorau Allyriadau'!$K$3:$K$201&amp;'Ffactorau Allyriadau'!$L$3:$L$201,0),MATCH(N$7,'Ffactorau Allyriadau'!$K$2:$V$2,0)))*$G26)</f>
        <v/>
      </c>
      <c r="O26" s="210" t="str">
        <f t="array" ref="O26">IF(OR($C26="",$E26=""),"",(INDEX('Ffactorau Allyriadau'!$K$3:$V$201,MATCH($B26&amp;$C26&amp;$D26,'Ffactorau Allyriadau'!$J$3:$J$201&amp;'Ffactorau Allyriadau'!$K$3:$K$201&amp;'Ffactorau Allyriadau'!$L$3:$L$201,0),MATCH(O$7,'Ffactorau Allyriadau'!$K$2:$V$2,0)))*$G26)</f>
        <v/>
      </c>
      <c r="P26" s="210" t="str">
        <f t="array" ref="P26">IF(OR($C26="",$E26=""),"",(INDEX('Ffactorau Allyriadau'!$K$3:$V$201,MATCH($B26&amp;$C26&amp;$D26,'Ffactorau Allyriadau'!$J$3:$J$201&amp;'Ffactorau Allyriadau'!$K$3:$K$201&amp;'Ffactorau Allyriadau'!$L$3:$L$201,0),MATCH(P$7,'Ffactorau Allyriadau'!$K$2:$V$2,0)))*$G26)</f>
        <v/>
      </c>
    </row>
    <row r="27" spans="1:22" ht="15" thickBot="1" x14ac:dyDescent="0.4">
      <c r="A27" s="26"/>
      <c r="B27" s="173"/>
      <c r="C27" s="123"/>
      <c r="D27" s="123"/>
      <c r="E27" s="120"/>
      <c r="F27" s="123"/>
      <c r="G27" s="42" t="str">
        <f t="array" ref="G27">IF(OR($B27="",$C27="",$D27="",F27=""),"",IF(F27=H27,E27,(INDEX('Ffactorau Allyriadau'!$K$3:$V$276,MATCH($B27&amp;$C27&amp;$D27,'Ffactorau Allyriadau'!$J$3:$J$276&amp;'Ffactorau Allyriadau'!$K$3:$K$276&amp;'Ffactorau Allyriadau'!$L$3:$L$276,0),MATCH('Teithio i’r Ysgol a Theithiau S'!G$7,'Ffactorau Allyriadau'!$K$2:$V$2,0)))*E27))</f>
        <v/>
      </c>
      <c r="H27" s="43" t="str">
        <f t="array" ref="H27">IF(OR($B27="",$C27="",$E27=""),"",INDEX('Ffactorau Allyriadau'!$K$3:$V$276,MATCH($B27&amp;$C27&amp;$D27,'Ffactorau Allyriadau'!$J$3:$J$276&amp;'Ffactorau Allyriadau'!$K$3:$K$276&amp;'Ffactorau Allyriadau'!$L$3:$L$276,0),MATCH('Teithio i’r Ysgol a Theithiau S'!H$7,'Ffactorau Allyriadau'!$K$2:$V$2,0)))</f>
        <v/>
      </c>
      <c r="I27" s="43" t="str">
        <f t="array" ref="I27">IF(OR(B27="",C27="",D27=""),"",INDEX('Ffactorau Allyriadau'!$K$3:$V$276,MATCH($B27&amp;$C27&amp;$D27,'Ffactorau Allyriadau'!$J$3:$J$276&amp;'Ffactorau Allyriadau'!$K$3:$K$276&amp;'Ffactorau Allyriadau'!$L$3:$L$276,0),MATCH('Teithio i’r Ysgol a Theithiau S'!I$7,'Ffactorau Allyriadau'!$K$2:$V$2,0)))</f>
        <v/>
      </c>
      <c r="J27" s="32" t="str">
        <f>IF(OR(G27="",I27=""),"",SUM(BusinessTable[[#This Row],[Direct]:[Indirect WTT]]))</f>
        <v/>
      </c>
      <c r="K27" s="124"/>
      <c r="L27" s="211" t="str">
        <f t="array" ref="L27">IF(OR($C27="",$E27=""),"",(INDEX('Ffactorau Allyriadau'!$K$3:$V$201,MATCH($B27&amp;$C27&amp;$D27,'Ffactorau Allyriadau'!$J$3:$J$201&amp;'Ffactorau Allyriadau'!$K$3:$K$201&amp;'Ffactorau Allyriadau'!$L$3:$L$201,0),MATCH(L$7,'Ffactorau Allyriadau'!$K$2:$V$2,0)))*$G27)</f>
        <v/>
      </c>
      <c r="M27" s="211" t="str">
        <f t="array" ref="M27">IF(OR($C27="",$E27=""),"",(INDEX('Ffactorau Allyriadau'!$K$3:$V$201,MATCH($B27&amp;$C27&amp;$D27,'Ffactorau Allyriadau'!$J$3:$J$201&amp;'Ffactorau Allyriadau'!$K$3:$K$201&amp;'Ffactorau Allyriadau'!$L$3:$L$201,0),MATCH(M$7,'Ffactorau Allyriadau'!$K$2:$V$2,0)))*$G27)</f>
        <v/>
      </c>
      <c r="N27" s="211" t="str">
        <f t="array" ref="N27">IF(OR($C27="",$E27=""),"",(INDEX('Ffactorau Allyriadau'!$K$3:$V$201,MATCH($B27&amp;$C27&amp;$D27,'Ffactorau Allyriadau'!$J$3:$J$201&amp;'Ffactorau Allyriadau'!$K$3:$K$201&amp;'Ffactorau Allyriadau'!$L$3:$L$201,0),MATCH(N$7,'Ffactorau Allyriadau'!$K$2:$V$2,0)))*$G27)</f>
        <v/>
      </c>
      <c r="O27" s="211" t="str">
        <f t="array" ref="O27">IF(OR($C27="",$E27=""),"",(INDEX('Ffactorau Allyriadau'!$K$3:$V$201,MATCH($B27&amp;$C27&amp;$D27,'Ffactorau Allyriadau'!$J$3:$J$201&amp;'Ffactorau Allyriadau'!$K$3:$K$201&amp;'Ffactorau Allyriadau'!$L$3:$L$201,0),MATCH(O$7,'Ffactorau Allyriadau'!$K$2:$V$2,0)))*$G27)</f>
        <v/>
      </c>
      <c r="P27" s="211" t="str">
        <f t="array" ref="P27">IF(OR($C27="",$E27=""),"",(INDEX('Ffactorau Allyriadau'!$K$3:$V$201,MATCH($B27&amp;$C27&amp;$D27,'Ffactorau Allyriadau'!$J$3:$J$201&amp;'Ffactorau Allyriadau'!$K$3:$K$201&amp;'Ffactorau Allyriadau'!$L$3:$L$201,0),MATCH(P$7,'Ffactorau Allyriadau'!$K$2:$V$2,0)))*$G27)</f>
        <v/>
      </c>
    </row>
    <row r="28" spans="1:22" x14ac:dyDescent="0.35">
      <c r="A28" s="44"/>
      <c r="B28" s="46"/>
      <c r="C28" s="46"/>
      <c r="D28" s="46"/>
      <c r="E28" s="27"/>
      <c r="F28" s="27"/>
      <c r="G28" s="27"/>
      <c r="H28" s="27"/>
      <c r="I28" s="27"/>
      <c r="J28" s="27"/>
      <c r="K28" s="27"/>
      <c r="L28" s="27"/>
      <c r="M28" s="27"/>
      <c r="N28" s="27"/>
      <c r="O28" s="27"/>
      <c r="P28" s="27"/>
      <c r="Q28" s="27"/>
      <c r="R28" s="27"/>
      <c r="S28" s="27"/>
      <c r="T28" s="27"/>
      <c r="U28" s="214"/>
      <c r="V28" s="108"/>
    </row>
    <row r="29" spans="1:22" ht="19" thickBot="1" x14ac:dyDescent="0.4">
      <c r="B29" s="31" t="s">
        <v>16</v>
      </c>
      <c r="I29" s="128" t="str">
        <f>IFERROR(IF(SUM(CommutingTable[Total EF (kgCO2e/unit)])&gt;0,"No errors in this table","No data entered"), "There is an error in this table, see highlighted row(s)")</f>
        <v>No data entered</v>
      </c>
      <c r="L29" s="40" t="s">
        <v>53</v>
      </c>
      <c r="T29" s="44"/>
      <c r="U29" s="215"/>
      <c r="V29" s="54"/>
    </row>
    <row r="30" spans="1:22" ht="29.5" thickBot="1" x14ac:dyDescent="0.4">
      <c r="B30" s="41" t="s">
        <v>95</v>
      </c>
      <c r="C30" s="28" t="s">
        <v>56</v>
      </c>
      <c r="D30" s="28" t="s">
        <v>96</v>
      </c>
      <c r="E30" s="28" t="s">
        <v>59</v>
      </c>
      <c r="F30" s="28" t="s">
        <v>60</v>
      </c>
      <c r="G30" s="28" t="s">
        <v>61</v>
      </c>
      <c r="H30" s="28" t="s">
        <v>62</v>
      </c>
      <c r="I30" s="28" t="s">
        <v>63</v>
      </c>
      <c r="J30" s="28" t="s">
        <v>32</v>
      </c>
      <c r="K30" s="28" t="s">
        <v>64</v>
      </c>
      <c r="L30" s="82" t="s">
        <v>7</v>
      </c>
      <c r="M30" s="82" t="s">
        <v>65</v>
      </c>
      <c r="N30" s="82" t="s">
        <v>66</v>
      </c>
      <c r="O30" s="82" t="s">
        <v>67</v>
      </c>
      <c r="P30" s="82" t="s">
        <v>68</v>
      </c>
    </row>
    <row r="31" spans="1:22" ht="15" thickBot="1" x14ac:dyDescent="0.4">
      <c r="B31" s="126"/>
      <c r="C31" s="123"/>
      <c r="D31" s="123"/>
      <c r="E31" s="120"/>
      <c r="F31" s="123"/>
      <c r="G31" s="30" t="str">
        <f t="array" ref="G31">IF(OR($B31="",$C31="",$D31="",F31=""),"",IF(F31=H31,E31,(INDEX('Ffactorau Allyriadau'!$K$3:$V$276,MATCH($B31&amp;$C31&amp;$D31,'Ffactorau Allyriadau'!$J$3:$J$276&amp;'Ffactorau Allyriadau'!$K$3:$K$276&amp;'Ffactorau Allyriadau'!$L$3:$L$276,0),MATCH('Teithio i’r Ysgol a Theithiau S'!G$7,'Ffactorau Allyriadau'!$K$2:$V$2,0)))*E31))</f>
        <v/>
      </c>
      <c r="H31" s="29" t="str">
        <f t="array" ref="H31">IF(OR($B31="",$C31="",$E31=""),"",INDEX('Ffactorau Allyriadau'!$K$3:$V$276,MATCH($B31&amp;$C31&amp;$D31,'Ffactorau Allyriadau'!$J$3:$J$276&amp;'Ffactorau Allyriadau'!$K$3:$K$276&amp;'Ffactorau Allyriadau'!$L$3:$L$276,0),MATCH('Teithio i’r Ysgol a Theithiau S'!H$7,'Ffactorau Allyriadau'!$K$2:$V$2,0)))</f>
        <v/>
      </c>
      <c r="I31" s="29" t="str">
        <f t="array" ref="I31">IF(OR(B31="",C31="",D31=""),"",INDEX('Ffactorau Allyriadau'!$K$3:$V$276,MATCH($B31&amp;$C31&amp;$D31,'Ffactorau Allyriadau'!$J$3:$J$276&amp;'Ffactorau Allyriadau'!$K$3:$K$276&amp;'Ffactorau Allyriadau'!$L$3:$L$276,0),MATCH('Teithio i’r Ysgol a Theithiau S'!I$7,'Ffactorau Allyriadau'!$K$2:$V$2,0)))</f>
        <v/>
      </c>
      <c r="J31" s="32" t="str">
        <f>IF(OR(G31="",I31=""),"",SUM(CommutingTable[[#This Row],[Direct]:[Indirect WTT]]))</f>
        <v/>
      </c>
      <c r="K31" s="122"/>
      <c r="L31" s="210" t="str">
        <f t="array" ref="L31">IF(OR($C31="",$E31="",CommutingTable[[#This Row],[Converted data]]=""),"",(INDEX('Ffactorau Allyriadau'!$K$3:$V$201,MATCH($B31&amp;$C31&amp;$D31,'Ffactorau Allyriadau'!$J$3:$J$201&amp;'Ffactorau Allyriadau'!$K$3:$K$201&amp;'Ffactorau Allyriadau'!$L$3:$L$201,0),MATCH(L$30,'Ffactorau Allyriadau'!$K$2:$V$2,0)))*$G31)</f>
        <v/>
      </c>
      <c r="M31" s="210" t="str">
        <f t="array" ref="M31">IF(OR($C31="",$E31="",CommutingTable[[#This Row],[Converted data]]=""),"",(INDEX('Ffactorau Allyriadau'!$K$3:$V$201,MATCH($B31&amp;$C31&amp;$D31,'Ffactorau Allyriadau'!$J$3:$J$201&amp;'Ffactorau Allyriadau'!$K$3:$K$201&amp;'Ffactorau Allyriadau'!$L$3:$L$201,0),MATCH(M$30,'Ffactorau Allyriadau'!$K$2:$V$2,0)))*$G31)</f>
        <v/>
      </c>
      <c r="N31" s="210" t="str">
        <f t="array" ref="N31">IF(OR($C31="",$E31="",CommutingTable[[#This Row],[Converted data]]=""),"",(INDEX('Ffactorau Allyriadau'!$K$3:$V$201,MATCH($B31&amp;$C31&amp;$D31,'Ffactorau Allyriadau'!$J$3:$J$201&amp;'Ffactorau Allyriadau'!$K$3:$K$201&amp;'Ffactorau Allyriadau'!$L$3:$L$201,0),MATCH(N$30,'Ffactorau Allyriadau'!$K$2:$V$2,0)))*$G31)</f>
        <v/>
      </c>
      <c r="O31" s="210" t="str">
        <f t="array" ref="O31">IF(OR($C31="",$E31="",CommutingTable[[#This Row],[Converted data]]=""),"",(INDEX('Ffactorau Allyriadau'!$K$3:$V$201,MATCH($B31&amp;$C31&amp;$D31,'Ffactorau Allyriadau'!$J$3:$J$201&amp;'Ffactorau Allyriadau'!$K$3:$K$201&amp;'Ffactorau Allyriadau'!$L$3:$L$201,0),MATCH(O$30,'Ffactorau Allyriadau'!$K$2:$V$2,0)))*$G31)</f>
        <v/>
      </c>
      <c r="P31" s="210" t="str">
        <f t="array" ref="P31">IF(OR($C31="",$E31="",CommutingTable[[#This Row],[Converted data]]=""),"",(INDEX('Ffactorau Allyriadau'!$K$3:$V$201,MATCH($B31&amp;$C31&amp;$D31,'Ffactorau Allyriadau'!$J$3:$J$201&amp;'Ffactorau Allyriadau'!$K$3:$K$201&amp;'Ffactorau Allyriadau'!$L$3:$L$201,0),MATCH(P$30,'Ffactorau Allyriadau'!$K$2:$V$2,0)))*$G31)</f>
        <v/>
      </c>
    </row>
    <row r="32" spans="1:22" ht="15" thickBot="1" x14ac:dyDescent="0.4">
      <c r="B32" s="126"/>
      <c r="C32" s="123"/>
      <c r="D32" s="123"/>
      <c r="E32" s="120"/>
      <c r="F32" s="123"/>
      <c r="G32" s="30" t="str">
        <f t="array" ref="G32">IF(OR($B32="",$C32="",$D32="",F32=""),"",IF(F32=H32,E32,(INDEX('Ffactorau Allyriadau'!$K$3:$V$276,MATCH($B32&amp;$C32&amp;$D32,'Ffactorau Allyriadau'!$J$3:$J$276&amp;'Ffactorau Allyriadau'!$K$3:$K$276&amp;'Ffactorau Allyriadau'!$L$3:$L$276,0),MATCH('Teithio i’r Ysgol a Theithiau S'!G$7,'Ffactorau Allyriadau'!$K$2:$V$2,0)))*E32))</f>
        <v/>
      </c>
      <c r="H32" s="29" t="str">
        <f t="array" ref="H32">IF(OR($B32="",$C32="",$E32=""),"",INDEX('Ffactorau Allyriadau'!$K$3:$V$276,MATCH($B32&amp;$C32&amp;$D32,'Ffactorau Allyriadau'!$J$3:$J$276&amp;'Ffactorau Allyriadau'!$K$3:$K$276&amp;'Ffactorau Allyriadau'!$L$3:$L$276,0),MATCH('Teithio i’r Ysgol a Theithiau S'!H$7,'Ffactorau Allyriadau'!$K$2:$V$2,0)))</f>
        <v/>
      </c>
      <c r="I32" s="29" t="str">
        <f t="array" ref="I32">IF(OR(B32="",C32="",D32=""),"",INDEX('Ffactorau Allyriadau'!$K$3:$V$276,MATCH($B32&amp;$C32&amp;$D32,'Ffactorau Allyriadau'!$J$3:$J$276&amp;'Ffactorau Allyriadau'!$K$3:$K$276&amp;'Ffactorau Allyriadau'!$L$3:$L$276,0),MATCH('Teithio i’r Ysgol a Theithiau S'!I$7,'Ffactorau Allyriadau'!$K$2:$V$2,0)))</f>
        <v/>
      </c>
      <c r="J32" s="32" t="str">
        <f>IF(OR(G32="",I32=""),"",SUM(CommutingTable[[#This Row],[Direct]:[Indirect WTT]]))</f>
        <v/>
      </c>
      <c r="K32" s="122"/>
      <c r="L32" s="210" t="str">
        <f t="array" ref="L32">IF(OR($C32="",$E32="",CommutingTable[[#This Row],[Converted data]]=""),"",(INDEX('Ffactorau Allyriadau'!$K$3:$V$201,MATCH($B32&amp;$C32&amp;$D32,'Ffactorau Allyriadau'!$J$3:$J$201&amp;'Ffactorau Allyriadau'!$K$3:$K$201&amp;'Ffactorau Allyriadau'!$L$3:$L$201,0),MATCH(L$30,'Ffactorau Allyriadau'!$K$2:$V$2,0)))*$G32)</f>
        <v/>
      </c>
      <c r="M32" s="210" t="str">
        <f t="array" ref="M32">IF(OR($C32="",$E32="",CommutingTable[[#This Row],[Converted data]]=""),"",(INDEX('Ffactorau Allyriadau'!$K$3:$V$201,MATCH($B32&amp;$C32&amp;$D32,'Ffactorau Allyriadau'!$J$3:$J$201&amp;'Ffactorau Allyriadau'!$K$3:$K$201&amp;'Ffactorau Allyriadau'!$L$3:$L$201,0),MATCH(M$30,'Ffactorau Allyriadau'!$K$2:$V$2,0)))*$G32)</f>
        <v/>
      </c>
      <c r="N32" s="210" t="str">
        <f t="array" ref="N32">IF(OR($C32="",$E32="",CommutingTable[[#This Row],[Converted data]]=""),"",(INDEX('Ffactorau Allyriadau'!$K$3:$V$201,MATCH($B32&amp;$C32&amp;$D32,'Ffactorau Allyriadau'!$J$3:$J$201&amp;'Ffactorau Allyriadau'!$K$3:$K$201&amp;'Ffactorau Allyriadau'!$L$3:$L$201,0),MATCH(N$30,'Ffactorau Allyriadau'!$K$2:$V$2,0)))*$G32)</f>
        <v/>
      </c>
      <c r="O32" s="210" t="str">
        <f t="array" ref="O32">IF(OR($C32="",$E32="",CommutingTable[[#This Row],[Converted data]]=""),"",(INDEX('Ffactorau Allyriadau'!$K$3:$V$201,MATCH($B32&amp;$C32&amp;$D32,'Ffactorau Allyriadau'!$J$3:$J$201&amp;'Ffactorau Allyriadau'!$K$3:$K$201&amp;'Ffactorau Allyriadau'!$L$3:$L$201,0),MATCH(O$30,'Ffactorau Allyriadau'!$K$2:$V$2,0)))*$G32)</f>
        <v/>
      </c>
      <c r="P32" s="210" t="str">
        <f t="array" ref="P32">IF(OR($C32="",$E32="",CommutingTable[[#This Row],[Converted data]]=""),"",(INDEX('Ffactorau Allyriadau'!$K$3:$V$201,MATCH($B32&amp;$C32&amp;$D32,'Ffactorau Allyriadau'!$J$3:$J$201&amp;'Ffactorau Allyriadau'!$K$3:$K$201&amp;'Ffactorau Allyriadau'!$L$3:$L$201,0),MATCH(P$30,'Ffactorau Allyriadau'!$K$2:$V$2,0)))*$G32)</f>
        <v/>
      </c>
    </row>
    <row r="33" spans="2:16" ht="15" thickBot="1" x14ac:dyDescent="0.4">
      <c r="B33" s="126"/>
      <c r="C33" s="123"/>
      <c r="D33" s="123"/>
      <c r="E33" s="120"/>
      <c r="F33" s="123"/>
      <c r="G33" s="30" t="str">
        <f t="array" ref="G33">IF(OR($B33="",$C33="",$D33="",F33=""),"",IF(F33=H33,E33,(INDEX('Ffactorau Allyriadau'!$K$3:$V$276,MATCH($B33&amp;$C33&amp;$D33,'Ffactorau Allyriadau'!$J$3:$J$276&amp;'Ffactorau Allyriadau'!$K$3:$K$276&amp;'Ffactorau Allyriadau'!$L$3:$L$276,0),MATCH('Teithio i’r Ysgol a Theithiau S'!G$7,'Ffactorau Allyriadau'!$K$2:$V$2,0)))*E33))</f>
        <v/>
      </c>
      <c r="H33" s="29" t="str">
        <f t="array" ref="H33">IF(OR($B33="",$C33="",$E33=""),"",INDEX('Ffactorau Allyriadau'!$K$3:$V$276,MATCH($B33&amp;$C33&amp;$D33,'Ffactorau Allyriadau'!$J$3:$J$276&amp;'Ffactorau Allyriadau'!$K$3:$K$276&amp;'Ffactorau Allyriadau'!$L$3:$L$276,0),MATCH('Teithio i’r Ysgol a Theithiau S'!H$7,'Ffactorau Allyriadau'!$K$2:$V$2,0)))</f>
        <v/>
      </c>
      <c r="I33" s="29" t="str">
        <f t="array" ref="I33">IF(OR(B33="",C33="",D33=""),"",INDEX('Ffactorau Allyriadau'!$K$3:$V$276,MATCH($B33&amp;$C33&amp;$D33,'Ffactorau Allyriadau'!$J$3:$J$276&amp;'Ffactorau Allyriadau'!$K$3:$K$276&amp;'Ffactorau Allyriadau'!$L$3:$L$276,0),MATCH('Teithio i’r Ysgol a Theithiau S'!I$7,'Ffactorau Allyriadau'!$K$2:$V$2,0)))</f>
        <v/>
      </c>
      <c r="J33" s="32" t="str">
        <f>IF(OR(G33="",I33=""),"",SUM(CommutingTable[[#This Row],[Direct]:[Indirect WTT]]))</f>
        <v/>
      </c>
      <c r="K33" s="122"/>
      <c r="L33" s="210" t="str">
        <f t="array" ref="L33">IF(OR($C33="",$E33="",CommutingTable[[#This Row],[Converted data]]=""),"",(INDEX('Ffactorau Allyriadau'!$K$3:$V$201,MATCH($B33&amp;$C33&amp;$D33,'Ffactorau Allyriadau'!$J$3:$J$201&amp;'Ffactorau Allyriadau'!$K$3:$K$201&amp;'Ffactorau Allyriadau'!$L$3:$L$201,0),MATCH(L$30,'Ffactorau Allyriadau'!$K$2:$V$2,0)))*$G33)</f>
        <v/>
      </c>
      <c r="M33" s="210" t="str">
        <f t="array" ref="M33">IF(OR($C33="",$E33="",CommutingTable[[#This Row],[Converted data]]=""),"",(INDEX('Ffactorau Allyriadau'!$K$3:$V$201,MATCH($B33&amp;$C33&amp;$D33,'Ffactorau Allyriadau'!$J$3:$J$201&amp;'Ffactorau Allyriadau'!$K$3:$K$201&amp;'Ffactorau Allyriadau'!$L$3:$L$201,0),MATCH(M$30,'Ffactorau Allyriadau'!$K$2:$V$2,0)))*$G33)</f>
        <v/>
      </c>
      <c r="N33" s="210" t="str">
        <f t="array" ref="N33">IF(OR($C33="",$E33="",CommutingTable[[#This Row],[Converted data]]=""),"",(INDEX('Ffactorau Allyriadau'!$K$3:$V$201,MATCH($B33&amp;$C33&amp;$D33,'Ffactorau Allyriadau'!$J$3:$J$201&amp;'Ffactorau Allyriadau'!$K$3:$K$201&amp;'Ffactorau Allyriadau'!$L$3:$L$201,0),MATCH(N$30,'Ffactorau Allyriadau'!$K$2:$V$2,0)))*$G33)</f>
        <v/>
      </c>
      <c r="O33" s="210" t="str">
        <f t="array" ref="O33">IF(OR($C33="",$E33="",CommutingTable[[#This Row],[Converted data]]=""),"",(INDEX('Ffactorau Allyriadau'!$K$3:$V$201,MATCH($B33&amp;$C33&amp;$D33,'Ffactorau Allyriadau'!$J$3:$J$201&amp;'Ffactorau Allyriadau'!$K$3:$K$201&amp;'Ffactorau Allyriadau'!$L$3:$L$201,0),MATCH(O$30,'Ffactorau Allyriadau'!$K$2:$V$2,0)))*$G33)</f>
        <v/>
      </c>
      <c r="P33" s="210" t="str">
        <f t="array" ref="P33">IF(OR($C33="",$E33="",CommutingTable[[#This Row],[Converted data]]=""),"",(INDEX('Ffactorau Allyriadau'!$K$3:$V$201,MATCH($B33&amp;$C33&amp;$D33,'Ffactorau Allyriadau'!$J$3:$J$201&amp;'Ffactorau Allyriadau'!$K$3:$K$201&amp;'Ffactorau Allyriadau'!$L$3:$L$201,0),MATCH(P$30,'Ffactorau Allyriadau'!$K$2:$V$2,0)))*$G33)</f>
        <v/>
      </c>
    </row>
    <row r="34" spans="2:16" ht="15" thickBot="1" x14ac:dyDescent="0.4">
      <c r="B34" s="126"/>
      <c r="C34" s="123"/>
      <c r="D34" s="123"/>
      <c r="E34" s="120"/>
      <c r="F34" s="123"/>
      <c r="G34" s="30" t="str">
        <f t="array" ref="G34">IF(OR($B34="",$C34="",$D34="",F34=""),"",IF(F34=H34,E34,(INDEX('Ffactorau Allyriadau'!$K$3:$V$276,MATCH($B34&amp;$C34&amp;$D34,'Ffactorau Allyriadau'!$J$3:$J$276&amp;'Ffactorau Allyriadau'!$K$3:$K$276&amp;'Ffactorau Allyriadau'!$L$3:$L$276,0),MATCH('Teithio i’r Ysgol a Theithiau S'!G$7,'Ffactorau Allyriadau'!$K$2:$V$2,0)))*E34))</f>
        <v/>
      </c>
      <c r="H34" s="29" t="str">
        <f t="array" ref="H34">IF(OR($B34="",$C34="",$E34=""),"",INDEX('Ffactorau Allyriadau'!$K$3:$V$276,MATCH($B34&amp;$C34&amp;$D34,'Ffactorau Allyriadau'!$J$3:$J$276&amp;'Ffactorau Allyriadau'!$K$3:$K$276&amp;'Ffactorau Allyriadau'!$L$3:$L$276,0),MATCH('Teithio i’r Ysgol a Theithiau S'!H$7,'Ffactorau Allyriadau'!$K$2:$V$2,0)))</f>
        <v/>
      </c>
      <c r="I34" s="29" t="str">
        <f t="array" ref="I34">IF(OR(B34="",C34="",D34=""),"",INDEX('Ffactorau Allyriadau'!$K$3:$V$276,MATCH($B34&amp;$C34&amp;$D34,'Ffactorau Allyriadau'!$J$3:$J$276&amp;'Ffactorau Allyriadau'!$K$3:$K$276&amp;'Ffactorau Allyriadau'!$L$3:$L$276,0),MATCH('Teithio i’r Ysgol a Theithiau S'!I$7,'Ffactorau Allyriadau'!$K$2:$V$2,0)))</f>
        <v/>
      </c>
      <c r="J34" s="32" t="str">
        <f>IF(OR(G34="",I34=""),"",SUM(CommutingTable[[#This Row],[Direct]:[Indirect WTT]]))</f>
        <v/>
      </c>
      <c r="K34" s="122"/>
      <c r="L34" s="210" t="str">
        <f t="array" ref="L34">IF(OR($C34="",$E34="",CommutingTable[[#This Row],[Converted data]]=""),"",(INDEX('Ffactorau Allyriadau'!$K$3:$V$201,MATCH($B34&amp;$C34&amp;$D34,'Ffactorau Allyriadau'!$J$3:$J$201&amp;'Ffactorau Allyriadau'!$K$3:$K$201&amp;'Ffactorau Allyriadau'!$L$3:$L$201,0),MATCH(L$30,'Ffactorau Allyriadau'!$K$2:$V$2,0)))*$G34)</f>
        <v/>
      </c>
      <c r="M34" s="210" t="str">
        <f t="array" ref="M34">IF(OR($C34="",$E34="",CommutingTable[[#This Row],[Converted data]]=""),"",(INDEX('Ffactorau Allyriadau'!$K$3:$V$201,MATCH($B34&amp;$C34&amp;$D34,'Ffactorau Allyriadau'!$J$3:$J$201&amp;'Ffactorau Allyriadau'!$K$3:$K$201&amp;'Ffactorau Allyriadau'!$L$3:$L$201,0),MATCH(M$30,'Ffactorau Allyriadau'!$K$2:$V$2,0)))*$G34)</f>
        <v/>
      </c>
      <c r="N34" s="210" t="str">
        <f t="array" ref="N34">IF(OR($C34="",$E34="",CommutingTable[[#This Row],[Converted data]]=""),"",(INDEX('Ffactorau Allyriadau'!$K$3:$V$201,MATCH($B34&amp;$C34&amp;$D34,'Ffactorau Allyriadau'!$J$3:$J$201&amp;'Ffactorau Allyriadau'!$K$3:$K$201&amp;'Ffactorau Allyriadau'!$L$3:$L$201,0),MATCH(N$30,'Ffactorau Allyriadau'!$K$2:$V$2,0)))*$G34)</f>
        <v/>
      </c>
      <c r="O34" s="210" t="str">
        <f t="array" ref="O34">IF(OR($C34="",$E34="",CommutingTable[[#This Row],[Converted data]]=""),"",(INDEX('Ffactorau Allyriadau'!$K$3:$V$201,MATCH($B34&amp;$C34&amp;$D34,'Ffactorau Allyriadau'!$J$3:$J$201&amp;'Ffactorau Allyriadau'!$K$3:$K$201&amp;'Ffactorau Allyriadau'!$L$3:$L$201,0),MATCH(O$30,'Ffactorau Allyriadau'!$K$2:$V$2,0)))*$G34)</f>
        <v/>
      </c>
      <c r="P34" s="210" t="str">
        <f t="array" ref="P34">IF(OR($C34="",$E34="",CommutingTable[[#This Row],[Converted data]]=""),"",(INDEX('Ffactorau Allyriadau'!$K$3:$V$201,MATCH($B34&amp;$C34&amp;$D34,'Ffactorau Allyriadau'!$J$3:$J$201&amp;'Ffactorau Allyriadau'!$K$3:$K$201&amp;'Ffactorau Allyriadau'!$L$3:$L$201,0),MATCH(P$30,'Ffactorau Allyriadau'!$K$2:$V$2,0)))*$G34)</f>
        <v/>
      </c>
    </row>
    <row r="35" spans="2:16" ht="15" thickBot="1" x14ac:dyDescent="0.4">
      <c r="B35" s="126"/>
      <c r="C35" s="123"/>
      <c r="D35" s="123"/>
      <c r="E35" s="120"/>
      <c r="F35" s="123"/>
      <c r="G35" s="30" t="str">
        <f t="array" ref="G35">IF(OR($B35="",$C35="",$D35="",F35=""),"",IF(F35=H35,E35,(INDEX('Ffactorau Allyriadau'!$K$3:$V$276,MATCH($B35&amp;$C35&amp;$D35,'Ffactorau Allyriadau'!$J$3:$J$276&amp;'Ffactorau Allyriadau'!$K$3:$K$276&amp;'Ffactorau Allyriadau'!$L$3:$L$276,0),MATCH('Teithio i’r Ysgol a Theithiau S'!G$7,'Ffactorau Allyriadau'!$K$2:$V$2,0)))*E35))</f>
        <v/>
      </c>
      <c r="H35" s="29" t="str">
        <f t="array" ref="H35">IF(OR($B35="",$C35="",$E35=""),"",INDEX('Ffactorau Allyriadau'!$K$3:$V$276,MATCH($B35&amp;$C35&amp;$D35,'Ffactorau Allyriadau'!$J$3:$J$276&amp;'Ffactorau Allyriadau'!$K$3:$K$276&amp;'Ffactorau Allyriadau'!$L$3:$L$276,0),MATCH('Teithio i’r Ysgol a Theithiau S'!H$7,'Ffactorau Allyriadau'!$K$2:$V$2,0)))</f>
        <v/>
      </c>
      <c r="I35" s="29" t="str">
        <f t="array" ref="I35">IF(OR(B35="",C35="",D35=""),"",INDEX('Ffactorau Allyriadau'!$K$3:$V$276,MATCH($B35&amp;$C35&amp;$D35,'Ffactorau Allyriadau'!$J$3:$J$276&amp;'Ffactorau Allyriadau'!$K$3:$K$276&amp;'Ffactorau Allyriadau'!$L$3:$L$276,0),MATCH('Teithio i’r Ysgol a Theithiau S'!I$7,'Ffactorau Allyriadau'!$K$2:$V$2,0)))</f>
        <v/>
      </c>
      <c r="J35" s="32" t="str">
        <f>IF(OR(G35="",I35=""),"",SUM(CommutingTable[[#This Row],[Direct]:[Indirect WTT]]))</f>
        <v/>
      </c>
      <c r="K35" s="122"/>
      <c r="L35" s="210" t="str">
        <f t="array" ref="L35">IF(OR($C35="",$E35="",CommutingTable[[#This Row],[Converted data]]=""),"",(INDEX('Ffactorau Allyriadau'!$K$3:$V$201,MATCH($B35&amp;$C35&amp;$D35,'Ffactorau Allyriadau'!$J$3:$J$201&amp;'Ffactorau Allyriadau'!$K$3:$K$201&amp;'Ffactorau Allyriadau'!$L$3:$L$201,0),MATCH(L$30,'Ffactorau Allyriadau'!$K$2:$V$2,0)))*$G35)</f>
        <v/>
      </c>
      <c r="M35" s="210" t="str">
        <f t="array" ref="M35">IF(OR($C35="",$E35="",CommutingTable[[#This Row],[Converted data]]=""),"",(INDEX('Ffactorau Allyriadau'!$K$3:$V$201,MATCH($B35&amp;$C35&amp;$D35,'Ffactorau Allyriadau'!$J$3:$J$201&amp;'Ffactorau Allyriadau'!$K$3:$K$201&amp;'Ffactorau Allyriadau'!$L$3:$L$201,0),MATCH(M$30,'Ffactorau Allyriadau'!$K$2:$V$2,0)))*$G35)</f>
        <v/>
      </c>
      <c r="N35" s="210" t="str">
        <f t="array" ref="N35">IF(OR($C35="",$E35="",CommutingTable[[#This Row],[Converted data]]=""),"",(INDEX('Ffactorau Allyriadau'!$K$3:$V$201,MATCH($B35&amp;$C35&amp;$D35,'Ffactorau Allyriadau'!$J$3:$J$201&amp;'Ffactorau Allyriadau'!$K$3:$K$201&amp;'Ffactorau Allyriadau'!$L$3:$L$201,0),MATCH(N$30,'Ffactorau Allyriadau'!$K$2:$V$2,0)))*$G35)</f>
        <v/>
      </c>
      <c r="O35" s="210" t="str">
        <f t="array" ref="O35">IF(OR($C35="",$E35="",CommutingTable[[#This Row],[Converted data]]=""),"",(INDEX('Ffactorau Allyriadau'!$K$3:$V$201,MATCH($B35&amp;$C35&amp;$D35,'Ffactorau Allyriadau'!$J$3:$J$201&amp;'Ffactorau Allyriadau'!$K$3:$K$201&amp;'Ffactorau Allyriadau'!$L$3:$L$201,0),MATCH(O$30,'Ffactorau Allyriadau'!$K$2:$V$2,0)))*$G35)</f>
        <v/>
      </c>
      <c r="P35" s="210" t="str">
        <f t="array" ref="P35">IF(OR($C35="",$E35="",CommutingTable[[#This Row],[Converted data]]=""),"",(INDEX('Ffactorau Allyriadau'!$K$3:$V$201,MATCH($B35&amp;$C35&amp;$D35,'Ffactorau Allyriadau'!$J$3:$J$201&amp;'Ffactorau Allyriadau'!$K$3:$K$201&amp;'Ffactorau Allyriadau'!$L$3:$L$201,0),MATCH(P$30,'Ffactorau Allyriadau'!$K$2:$V$2,0)))*$G35)</f>
        <v/>
      </c>
    </row>
    <row r="36" spans="2:16" ht="15" thickBot="1" x14ac:dyDescent="0.4">
      <c r="B36" s="126"/>
      <c r="C36" s="123"/>
      <c r="D36" s="123"/>
      <c r="E36" s="120"/>
      <c r="F36" s="123"/>
      <c r="G36" s="30" t="str">
        <f t="array" ref="G36">IF(OR($B36="",$C36="",$D36="",F36=""),"",IF(F36=H36,E36,(INDEX('Ffactorau Allyriadau'!$K$3:$V$276,MATCH($B36&amp;$C36&amp;$D36,'Ffactorau Allyriadau'!$J$3:$J$276&amp;'Ffactorau Allyriadau'!$K$3:$K$276&amp;'Ffactorau Allyriadau'!$L$3:$L$276,0),MATCH('Teithio i’r Ysgol a Theithiau S'!G$7,'Ffactorau Allyriadau'!$K$2:$V$2,0)))*E36))</f>
        <v/>
      </c>
      <c r="H36" s="29" t="str">
        <f t="array" ref="H36">IF(OR($B36="",$C36="",$E36=""),"",INDEX('Ffactorau Allyriadau'!$K$3:$V$276,MATCH($B36&amp;$C36&amp;$D36,'Ffactorau Allyriadau'!$J$3:$J$276&amp;'Ffactorau Allyriadau'!$K$3:$K$276&amp;'Ffactorau Allyriadau'!$L$3:$L$276,0),MATCH('Teithio i’r Ysgol a Theithiau S'!H$7,'Ffactorau Allyriadau'!$K$2:$V$2,0)))</f>
        <v/>
      </c>
      <c r="I36" s="29" t="str">
        <f t="array" ref="I36">IF(OR(B36="",C36="",D36=""),"",INDEX('Ffactorau Allyriadau'!$K$3:$V$276,MATCH($B36&amp;$C36&amp;$D36,'Ffactorau Allyriadau'!$J$3:$J$276&amp;'Ffactorau Allyriadau'!$K$3:$K$276&amp;'Ffactorau Allyriadau'!$L$3:$L$276,0),MATCH('Teithio i’r Ysgol a Theithiau S'!I$7,'Ffactorau Allyriadau'!$K$2:$V$2,0)))</f>
        <v/>
      </c>
      <c r="J36" s="32" t="str">
        <f>IF(OR(G36="",I36=""),"",SUM(CommutingTable[[#This Row],[Direct]:[Indirect WTT]]))</f>
        <v/>
      </c>
      <c r="K36" s="122"/>
      <c r="L36" s="210" t="str">
        <f t="array" ref="L36">IF(OR($C36="",$E36="",CommutingTable[[#This Row],[Converted data]]=""),"",(INDEX('Ffactorau Allyriadau'!$K$3:$V$201,MATCH($B36&amp;$C36&amp;$D36,'Ffactorau Allyriadau'!$J$3:$J$201&amp;'Ffactorau Allyriadau'!$K$3:$K$201&amp;'Ffactorau Allyriadau'!$L$3:$L$201,0),MATCH(L$30,'Ffactorau Allyriadau'!$K$2:$V$2,0)))*$G36)</f>
        <v/>
      </c>
      <c r="M36" s="210" t="str">
        <f t="array" ref="M36">IF(OR($C36="",$E36="",CommutingTable[[#This Row],[Converted data]]=""),"",(INDEX('Ffactorau Allyriadau'!$K$3:$V$201,MATCH($B36&amp;$C36&amp;$D36,'Ffactorau Allyriadau'!$J$3:$J$201&amp;'Ffactorau Allyriadau'!$K$3:$K$201&amp;'Ffactorau Allyriadau'!$L$3:$L$201,0),MATCH(M$30,'Ffactorau Allyriadau'!$K$2:$V$2,0)))*$G36)</f>
        <v/>
      </c>
      <c r="N36" s="210" t="str">
        <f t="array" ref="N36">IF(OR($C36="",$E36="",CommutingTable[[#This Row],[Converted data]]=""),"",(INDEX('Ffactorau Allyriadau'!$K$3:$V$201,MATCH($B36&amp;$C36&amp;$D36,'Ffactorau Allyriadau'!$J$3:$J$201&amp;'Ffactorau Allyriadau'!$K$3:$K$201&amp;'Ffactorau Allyriadau'!$L$3:$L$201,0),MATCH(N$30,'Ffactorau Allyriadau'!$K$2:$V$2,0)))*$G36)</f>
        <v/>
      </c>
      <c r="O36" s="210" t="str">
        <f t="array" ref="O36">IF(OR($C36="",$E36="",CommutingTable[[#This Row],[Converted data]]=""),"",(INDEX('Ffactorau Allyriadau'!$K$3:$V$201,MATCH($B36&amp;$C36&amp;$D36,'Ffactorau Allyriadau'!$J$3:$J$201&amp;'Ffactorau Allyriadau'!$K$3:$K$201&amp;'Ffactorau Allyriadau'!$L$3:$L$201,0),MATCH(O$30,'Ffactorau Allyriadau'!$K$2:$V$2,0)))*$G36)</f>
        <v/>
      </c>
      <c r="P36" s="210" t="str">
        <f t="array" ref="P36">IF(OR($C36="",$E36="",CommutingTable[[#This Row],[Converted data]]=""),"",(INDEX('Ffactorau Allyriadau'!$K$3:$V$201,MATCH($B36&amp;$C36&amp;$D36,'Ffactorau Allyriadau'!$J$3:$J$201&amp;'Ffactorau Allyriadau'!$K$3:$K$201&amp;'Ffactorau Allyriadau'!$L$3:$L$201,0),MATCH(P$30,'Ffactorau Allyriadau'!$K$2:$V$2,0)))*$G36)</f>
        <v/>
      </c>
    </row>
    <row r="37" spans="2:16" ht="15" thickBot="1" x14ac:dyDescent="0.4">
      <c r="B37" s="126"/>
      <c r="C37" s="123"/>
      <c r="D37" s="123"/>
      <c r="E37" s="120"/>
      <c r="F37" s="123"/>
      <c r="G37" s="30" t="str">
        <f t="array" ref="G37">IF(OR($B37="",$C37="",$D37="",F37=""),"",IF(F37=H37,E37,(INDEX('Ffactorau Allyriadau'!$K$3:$V$276,MATCH($B37&amp;$C37&amp;$D37,'Ffactorau Allyriadau'!$J$3:$J$276&amp;'Ffactorau Allyriadau'!$K$3:$K$276&amp;'Ffactorau Allyriadau'!$L$3:$L$276,0),MATCH('Teithio i’r Ysgol a Theithiau S'!G$7,'Ffactorau Allyriadau'!$K$2:$V$2,0)))*E37))</f>
        <v/>
      </c>
      <c r="H37" s="29" t="str">
        <f t="array" ref="H37">IF(OR($B37="",$C37="",$E37=""),"",INDEX('Ffactorau Allyriadau'!$K$3:$V$276,MATCH($B37&amp;$C37&amp;$D37,'Ffactorau Allyriadau'!$J$3:$J$276&amp;'Ffactorau Allyriadau'!$K$3:$K$276&amp;'Ffactorau Allyriadau'!$L$3:$L$276,0),MATCH('Teithio i’r Ysgol a Theithiau S'!H$7,'Ffactorau Allyriadau'!$K$2:$V$2,0)))</f>
        <v/>
      </c>
      <c r="I37" s="29" t="str">
        <f t="array" ref="I37">IF(OR(B37="",C37="",D37=""),"",INDEX('Ffactorau Allyriadau'!$K$3:$V$276,MATCH($B37&amp;$C37&amp;$D37,'Ffactorau Allyriadau'!$J$3:$J$276&amp;'Ffactorau Allyriadau'!$K$3:$K$276&amp;'Ffactorau Allyriadau'!$L$3:$L$276,0),MATCH('Teithio i’r Ysgol a Theithiau S'!I$7,'Ffactorau Allyriadau'!$K$2:$V$2,0)))</f>
        <v/>
      </c>
      <c r="J37" s="32" t="str">
        <f>IF(OR(G37="",I37=""),"",SUM(CommutingTable[[#This Row],[Direct]:[Indirect WTT]]))</f>
        <v/>
      </c>
      <c r="K37" s="122"/>
      <c r="L37" s="210" t="str">
        <f t="array" ref="L37">IF(OR($C37="",$E37="",CommutingTable[[#This Row],[Converted data]]=""),"",(INDEX('Ffactorau Allyriadau'!$K$3:$V$201,MATCH($B37&amp;$C37&amp;$D37,'Ffactorau Allyriadau'!$J$3:$J$201&amp;'Ffactorau Allyriadau'!$K$3:$K$201&amp;'Ffactorau Allyriadau'!$L$3:$L$201,0),MATCH(L$30,'Ffactorau Allyriadau'!$K$2:$V$2,0)))*$G37)</f>
        <v/>
      </c>
      <c r="M37" s="210" t="str">
        <f t="array" ref="M37">IF(OR($C37="",$E37="",CommutingTable[[#This Row],[Converted data]]=""),"",(INDEX('Ffactorau Allyriadau'!$K$3:$V$201,MATCH($B37&amp;$C37&amp;$D37,'Ffactorau Allyriadau'!$J$3:$J$201&amp;'Ffactorau Allyriadau'!$K$3:$K$201&amp;'Ffactorau Allyriadau'!$L$3:$L$201,0),MATCH(M$30,'Ffactorau Allyriadau'!$K$2:$V$2,0)))*$G37)</f>
        <v/>
      </c>
      <c r="N37" s="210" t="str">
        <f t="array" ref="N37">IF(OR($C37="",$E37="",CommutingTable[[#This Row],[Converted data]]=""),"",(INDEX('Ffactorau Allyriadau'!$K$3:$V$201,MATCH($B37&amp;$C37&amp;$D37,'Ffactorau Allyriadau'!$J$3:$J$201&amp;'Ffactorau Allyriadau'!$K$3:$K$201&amp;'Ffactorau Allyriadau'!$L$3:$L$201,0),MATCH(N$30,'Ffactorau Allyriadau'!$K$2:$V$2,0)))*$G37)</f>
        <v/>
      </c>
      <c r="O37" s="210" t="str">
        <f t="array" ref="O37">IF(OR($C37="",$E37="",CommutingTable[[#This Row],[Converted data]]=""),"",(INDEX('Ffactorau Allyriadau'!$K$3:$V$201,MATCH($B37&amp;$C37&amp;$D37,'Ffactorau Allyriadau'!$J$3:$J$201&amp;'Ffactorau Allyriadau'!$K$3:$K$201&amp;'Ffactorau Allyriadau'!$L$3:$L$201,0),MATCH(O$30,'Ffactorau Allyriadau'!$K$2:$V$2,0)))*$G37)</f>
        <v/>
      </c>
      <c r="P37" s="210" t="str">
        <f t="array" ref="P37">IF(OR($C37="",$E37="",CommutingTable[[#This Row],[Converted data]]=""),"",(INDEX('Ffactorau Allyriadau'!$K$3:$V$201,MATCH($B37&amp;$C37&amp;$D37,'Ffactorau Allyriadau'!$J$3:$J$201&amp;'Ffactorau Allyriadau'!$K$3:$K$201&amp;'Ffactorau Allyriadau'!$L$3:$L$201,0),MATCH(P$30,'Ffactorau Allyriadau'!$K$2:$V$2,0)))*$G37)</f>
        <v/>
      </c>
    </row>
    <row r="38" spans="2:16" ht="15" thickBot="1" x14ac:dyDescent="0.4">
      <c r="B38" s="126"/>
      <c r="C38" s="123"/>
      <c r="D38" s="123"/>
      <c r="E38" s="120"/>
      <c r="F38" s="123"/>
      <c r="G38" s="30" t="str">
        <f t="array" ref="G38">IF(OR($B38="",$C38="",$D38="",F38=""),"",IF(F38=H38,E38,(INDEX('Ffactorau Allyriadau'!$K$3:$V$276,MATCH($B38&amp;$C38&amp;$D38,'Ffactorau Allyriadau'!$J$3:$J$276&amp;'Ffactorau Allyriadau'!$K$3:$K$276&amp;'Ffactorau Allyriadau'!$L$3:$L$276,0),MATCH('Teithio i’r Ysgol a Theithiau S'!G$7,'Ffactorau Allyriadau'!$K$2:$V$2,0)))*E38))</f>
        <v/>
      </c>
      <c r="H38" s="29" t="str">
        <f t="array" ref="H38">IF(OR($B38="",$C38="",$E38=""),"",INDEX('Ffactorau Allyriadau'!$K$3:$V$276,MATCH($B38&amp;$C38&amp;$D38,'Ffactorau Allyriadau'!$J$3:$J$276&amp;'Ffactorau Allyriadau'!$K$3:$K$276&amp;'Ffactorau Allyriadau'!$L$3:$L$276,0),MATCH('Teithio i’r Ysgol a Theithiau S'!H$7,'Ffactorau Allyriadau'!$K$2:$V$2,0)))</f>
        <v/>
      </c>
      <c r="I38" s="29" t="str">
        <f t="array" ref="I38">IF(OR(B38="",C38="",D38=""),"",INDEX('Ffactorau Allyriadau'!$K$3:$V$276,MATCH($B38&amp;$C38&amp;$D38,'Ffactorau Allyriadau'!$J$3:$J$276&amp;'Ffactorau Allyriadau'!$K$3:$K$276&amp;'Ffactorau Allyriadau'!$L$3:$L$276,0),MATCH('Teithio i’r Ysgol a Theithiau S'!I$7,'Ffactorau Allyriadau'!$K$2:$V$2,0)))</f>
        <v/>
      </c>
      <c r="J38" s="32" t="str">
        <f>IF(OR(G38="",I38=""),"",SUM(CommutingTable[[#This Row],[Direct]:[Indirect WTT]]))</f>
        <v/>
      </c>
      <c r="K38" s="122"/>
      <c r="L38" s="210" t="str">
        <f t="array" ref="L38">IF(OR($C38="",$E38="",CommutingTable[[#This Row],[Converted data]]=""),"",(INDEX('Ffactorau Allyriadau'!$K$3:$V$201,MATCH($B38&amp;$C38&amp;$D38,'Ffactorau Allyriadau'!$J$3:$J$201&amp;'Ffactorau Allyriadau'!$K$3:$K$201&amp;'Ffactorau Allyriadau'!$L$3:$L$201,0),MATCH(L$30,'Ffactorau Allyriadau'!$K$2:$V$2,0)))*$G38)</f>
        <v/>
      </c>
      <c r="M38" s="210" t="str">
        <f t="array" ref="M38">IF(OR($C38="",$E38="",CommutingTable[[#This Row],[Converted data]]=""),"",(INDEX('Ffactorau Allyriadau'!$K$3:$V$201,MATCH($B38&amp;$C38&amp;$D38,'Ffactorau Allyriadau'!$J$3:$J$201&amp;'Ffactorau Allyriadau'!$K$3:$K$201&amp;'Ffactorau Allyriadau'!$L$3:$L$201,0),MATCH(M$30,'Ffactorau Allyriadau'!$K$2:$V$2,0)))*$G38)</f>
        <v/>
      </c>
      <c r="N38" s="210" t="str">
        <f t="array" ref="N38">IF(OR($C38="",$E38="",CommutingTable[[#This Row],[Converted data]]=""),"",(INDEX('Ffactorau Allyriadau'!$K$3:$V$201,MATCH($B38&amp;$C38&amp;$D38,'Ffactorau Allyriadau'!$J$3:$J$201&amp;'Ffactorau Allyriadau'!$K$3:$K$201&amp;'Ffactorau Allyriadau'!$L$3:$L$201,0),MATCH(N$30,'Ffactorau Allyriadau'!$K$2:$V$2,0)))*$G38)</f>
        <v/>
      </c>
      <c r="O38" s="210" t="str">
        <f t="array" ref="O38">IF(OR($C38="",$E38="",CommutingTable[[#This Row],[Converted data]]=""),"",(INDEX('Ffactorau Allyriadau'!$K$3:$V$201,MATCH($B38&amp;$C38&amp;$D38,'Ffactorau Allyriadau'!$J$3:$J$201&amp;'Ffactorau Allyriadau'!$K$3:$K$201&amp;'Ffactorau Allyriadau'!$L$3:$L$201,0),MATCH(O$30,'Ffactorau Allyriadau'!$K$2:$V$2,0)))*$G38)</f>
        <v/>
      </c>
      <c r="P38" s="210" t="str">
        <f t="array" ref="P38">IF(OR($C38="",$E38="",CommutingTable[[#This Row],[Converted data]]=""),"",(INDEX('Ffactorau Allyriadau'!$K$3:$V$201,MATCH($B38&amp;$C38&amp;$D38,'Ffactorau Allyriadau'!$J$3:$J$201&amp;'Ffactorau Allyriadau'!$K$3:$K$201&amp;'Ffactorau Allyriadau'!$L$3:$L$201,0),MATCH(P$30,'Ffactorau Allyriadau'!$K$2:$V$2,0)))*$G38)</f>
        <v/>
      </c>
    </row>
    <row r="39" spans="2:16" ht="15" thickBot="1" x14ac:dyDescent="0.4">
      <c r="B39" s="126"/>
      <c r="C39" s="123"/>
      <c r="D39" s="123"/>
      <c r="E39" s="120"/>
      <c r="F39" s="123"/>
      <c r="G39" s="30" t="str">
        <f t="array" ref="G39">IF(OR($B39="",$C39="",$D39="",F39=""),"",IF(F39=H39,E39,(INDEX('Ffactorau Allyriadau'!$K$3:$V$276,MATCH($B39&amp;$C39&amp;$D39,'Ffactorau Allyriadau'!$J$3:$J$276&amp;'Ffactorau Allyriadau'!$K$3:$K$276&amp;'Ffactorau Allyriadau'!$L$3:$L$276,0),MATCH('Teithio i’r Ysgol a Theithiau S'!G$7,'Ffactorau Allyriadau'!$K$2:$V$2,0)))*E39))</f>
        <v/>
      </c>
      <c r="H39" s="29" t="str">
        <f t="array" ref="H39">IF(OR($B39="",$C39="",$E39=""),"",INDEX('Ffactorau Allyriadau'!$K$3:$V$276,MATCH($B39&amp;$C39&amp;$D39,'Ffactorau Allyriadau'!$J$3:$J$276&amp;'Ffactorau Allyriadau'!$K$3:$K$276&amp;'Ffactorau Allyriadau'!$L$3:$L$276,0),MATCH('Teithio i’r Ysgol a Theithiau S'!H$7,'Ffactorau Allyriadau'!$K$2:$V$2,0)))</f>
        <v/>
      </c>
      <c r="I39" s="29" t="str">
        <f t="array" ref="I39">IF(OR(B39="",C39="",D39=""),"",INDEX('Ffactorau Allyriadau'!$K$3:$V$276,MATCH($B39&amp;$C39&amp;$D39,'Ffactorau Allyriadau'!$J$3:$J$276&amp;'Ffactorau Allyriadau'!$K$3:$K$276&amp;'Ffactorau Allyriadau'!$L$3:$L$276,0),MATCH('Teithio i’r Ysgol a Theithiau S'!I$7,'Ffactorau Allyriadau'!$K$2:$V$2,0)))</f>
        <v/>
      </c>
      <c r="J39" s="32" t="str">
        <f>IF(OR(G39="",I39=""),"",SUM(CommutingTable[[#This Row],[Direct]:[Indirect WTT]]))</f>
        <v/>
      </c>
      <c r="K39" s="122"/>
      <c r="L39" s="210" t="str">
        <f t="array" ref="L39">IF(OR($C39="",$E39="",CommutingTable[[#This Row],[Converted data]]=""),"",(INDEX('Ffactorau Allyriadau'!$K$3:$V$201,MATCH($B39&amp;$C39&amp;$D39,'Ffactorau Allyriadau'!$J$3:$J$201&amp;'Ffactorau Allyriadau'!$K$3:$K$201&amp;'Ffactorau Allyriadau'!$L$3:$L$201,0),MATCH(L$30,'Ffactorau Allyriadau'!$K$2:$V$2,0)))*$G39)</f>
        <v/>
      </c>
      <c r="M39" s="210" t="str">
        <f t="array" ref="M39">IF(OR($C39="",$E39="",CommutingTable[[#This Row],[Converted data]]=""),"",(INDEX('Ffactorau Allyriadau'!$K$3:$V$201,MATCH($B39&amp;$C39&amp;$D39,'Ffactorau Allyriadau'!$J$3:$J$201&amp;'Ffactorau Allyriadau'!$K$3:$K$201&amp;'Ffactorau Allyriadau'!$L$3:$L$201,0),MATCH(M$30,'Ffactorau Allyriadau'!$K$2:$V$2,0)))*$G39)</f>
        <v/>
      </c>
      <c r="N39" s="210" t="str">
        <f t="array" ref="N39">IF(OR($C39="",$E39="",CommutingTable[[#This Row],[Converted data]]=""),"",(INDEX('Ffactorau Allyriadau'!$K$3:$V$201,MATCH($B39&amp;$C39&amp;$D39,'Ffactorau Allyriadau'!$J$3:$J$201&amp;'Ffactorau Allyriadau'!$K$3:$K$201&amp;'Ffactorau Allyriadau'!$L$3:$L$201,0),MATCH(N$30,'Ffactorau Allyriadau'!$K$2:$V$2,0)))*$G39)</f>
        <v/>
      </c>
      <c r="O39" s="210" t="str">
        <f t="array" ref="O39">IF(OR($C39="",$E39="",CommutingTable[[#This Row],[Converted data]]=""),"",(INDEX('Ffactorau Allyriadau'!$K$3:$V$201,MATCH($B39&amp;$C39&amp;$D39,'Ffactorau Allyriadau'!$J$3:$J$201&amp;'Ffactorau Allyriadau'!$K$3:$K$201&amp;'Ffactorau Allyriadau'!$L$3:$L$201,0),MATCH(O$30,'Ffactorau Allyriadau'!$K$2:$V$2,0)))*$G39)</f>
        <v/>
      </c>
      <c r="P39" s="210" t="str">
        <f t="array" ref="P39">IF(OR($C39="",$E39="",CommutingTable[[#This Row],[Converted data]]=""),"",(INDEX('Ffactorau Allyriadau'!$K$3:$V$201,MATCH($B39&amp;$C39&amp;$D39,'Ffactorau Allyriadau'!$J$3:$J$201&amp;'Ffactorau Allyriadau'!$K$3:$K$201&amp;'Ffactorau Allyriadau'!$L$3:$L$201,0),MATCH(P$30,'Ffactorau Allyriadau'!$K$2:$V$2,0)))*$G39)</f>
        <v/>
      </c>
    </row>
    <row r="40" spans="2:16" ht="15" thickBot="1" x14ac:dyDescent="0.4">
      <c r="B40" s="126"/>
      <c r="C40" s="123"/>
      <c r="D40" s="123"/>
      <c r="E40" s="120"/>
      <c r="F40" s="123"/>
      <c r="G40" s="30" t="str">
        <f t="array" ref="G40">IF(OR($B40="",$C40="",$D40="",F40=""),"",IF(F40=H40,E40,(INDEX('Ffactorau Allyriadau'!$K$3:$V$276,MATCH($B40&amp;$C40&amp;$D40,'Ffactorau Allyriadau'!$J$3:$J$276&amp;'Ffactorau Allyriadau'!$K$3:$K$276&amp;'Ffactorau Allyriadau'!$L$3:$L$276,0),MATCH('Teithio i’r Ysgol a Theithiau S'!G$7,'Ffactorau Allyriadau'!$K$2:$V$2,0)))*E40))</f>
        <v/>
      </c>
      <c r="H40" s="29" t="str">
        <f t="array" ref="H40">IF(OR($B40="",$C40="",$E40=""),"",INDEX('Ffactorau Allyriadau'!$K$3:$V$276,MATCH($B40&amp;$C40&amp;$D40,'Ffactorau Allyriadau'!$J$3:$J$276&amp;'Ffactorau Allyriadau'!$K$3:$K$276&amp;'Ffactorau Allyriadau'!$L$3:$L$276,0),MATCH('Teithio i’r Ysgol a Theithiau S'!H$7,'Ffactorau Allyriadau'!$K$2:$V$2,0)))</f>
        <v/>
      </c>
      <c r="I40" s="29" t="str">
        <f t="array" ref="I40">IF(OR(B40="",C40="",D40=""),"",INDEX('Ffactorau Allyriadau'!$K$3:$V$276,MATCH($B40&amp;$C40&amp;$D40,'Ffactorau Allyriadau'!$J$3:$J$276&amp;'Ffactorau Allyriadau'!$K$3:$K$276&amp;'Ffactorau Allyriadau'!$L$3:$L$276,0),MATCH('Teithio i’r Ysgol a Theithiau S'!I$7,'Ffactorau Allyriadau'!$K$2:$V$2,0)))</f>
        <v/>
      </c>
      <c r="J40" s="32" t="str">
        <f>IF(OR(G40="",I40=""),"",SUM(CommutingTable[[#This Row],[Direct]:[Indirect WTT]]))</f>
        <v/>
      </c>
      <c r="K40" s="122"/>
      <c r="L40" s="210" t="str">
        <f t="array" ref="L40">IF(OR($C40="",$E40="",CommutingTable[[#This Row],[Converted data]]=""),"",(INDEX('Ffactorau Allyriadau'!$K$3:$V$201,MATCH($B40&amp;$C40&amp;$D40,'Ffactorau Allyriadau'!$J$3:$J$201&amp;'Ffactorau Allyriadau'!$K$3:$K$201&amp;'Ffactorau Allyriadau'!$L$3:$L$201,0),MATCH(L$30,'Ffactorau Allyriadau'!$K$2:$V$2,0)))*$G40)</f>
        <v/>
      </c>
      <c r="M40" s="210" t="str">
        <f t="array" ref="M40">IF(OR($C40="",$E40="",CommutingTable[[#This Row],[Converted data]]=""),"",(INDEX('Ffactorau Allyriadau'!$K$3:$V$201,MATCH($B40&amp;$C40&amp;$D40,'Ffactorau Allyriadau'!$J$3:$J$201&amp;'Ffactorau Allyriadau'!$K$3:$K$201&amp;'Ffactorau Allyriadau'!$L$3:$L$201,0),MATCH(M$30,'Ffactorau Allyriadau'!$K$2:$V$2,0)))*$G40)</f>
        <v/>
      </c>
      <c r="N40" s="210" t="str">
        <f t="array" ref="N40">IF(OR($C40="",$E40="",CommutingTable[[#This Row],[Converted data]]=""),"",(INDEX('Ffactorau Allyriadau'!$K$3:$V$201,MATCH($B40&amp;$C40&amp;$D40,'Ffactorau Allyriadau'!$J$3:$J$201&amp;'Ffactorau Allyriadau'!$K$3:$K$201&amp;'Ffactorau Allyriadau'!$L$3:$L$201,0),MATCH(N$30,'Ffactorau Allyriadau'!$K$2:$V$2,0)))*$G40)</f>
        <v/>
      </c>
      <c r="O40" s="210" t="str">
        <f t="array" ref="O40">IF(OR($C40="",$E40="",CommutingTable[[#This Row],[Converted data]]=""),"",(INDEX('Ffactorau Allyriadau'!$K$3:$V$201,MATCH($B40&amp;$C40&amp;$D40,'Ffactorau Allyriadau'!$J$3:$J$201&amp;'Ffactorau Allyriadau'!$K$3:$K$201&amp;'Ffactorau Allyriadau'!$L$3:$L$201,0),MATCH(O$30,'Ffactorau Allyriadau'!$K$2:$V$2,0)))*$G40)</f>
        <v/>
      </c>
      <c r="P40" s="210" t="str">
        <f t="array" ref="P40">IF(OR($C40="",$E40="",CommutingTable[[#This Row],[Converted data]]=""),"",(INDEX('Ffactorau Allyriadau'!$K$3:$V$201,MATCH($B40&amp;$C40&amp;$D40,'Ffactorau Allyriadau'!$J$3:$J$201&amp;'Ffactorau Allyriadau'!$K$3:$K$201&amp;'Ffactorau Allyriadau'!$L$3:$L$201,0),MATCH(P$30,'Ffactorau Allyriadau'!$K$2:$V$2,0)))*$G40)</f>
        <v/>
      </c>
    </row>
    <row r="41" spans="2:16" ht="15" thickBot="1" x14ac:dyDescent="0.4">
      <c r="B41" s="126"/>
      <c r="C41" s="123"/>
      <c r="D41" s="123"/>
      <c r="E41" s="120"/>
      <c r="F41" s="123"/>
      <c r="G41" s="30" t="str">
        <f t="array" ref="G41">IF(OR($B41="",$C41="",$D41="",F41=""),"",IF(F41=H41,E41,(INDEX('Ffactorau Allyriadau'!$K$3:$V$276,MATCH($B41&amp;$C41&amp;$D41,'Ffactorau Allyriadau'!$J$3:$J$276&amp;'Ffactorau Allyriadau'!$K$3:$K$276&amp;'Ffactorau Allyriadau'!$L$3:$L$276,0),MATCH('Teithio i’r Ysgol a Theithiau S'!G$7,'Ffactorau Allyriadau'!$K$2:$V$2,0)))*E41))</f>
        <v/>
      </c>
      <c r="H41" s="29" t="str">
        <f t="array" ref="H41">IF(OR($B41="",$C41="",$E41=""),"",INDEX('Ffactorau Allyriadau'!$K$3:$V$276,MATCH($B41&amp;$C41&amp;$D41,'Ffactorau Allyriadau'!$J$3:$J$276&amp;'Ffactorau Allyriadau'!$K$3:$K$276&amp;'Ffactorau Allyriadau'!$L$3:$L$276,0),MATCH('Teithio i’r Ysgol a Theithiau S'!H$7,'Ffactorau Allyriadau'!$K$2:$V$2,0)))</f>
        <v/>
      </c>
      <c r="I41" s="29" t="str">
        <f t="array" ref="I41">IF(OR(B41="",C41="",D41=""),"",INDEX('Ffactorau Allyriadau'!$K$3:$V$276,MATCH($B41&amp;$C41&amp;$D41,'Ffactorau Allyriadau'!$J$3:$J$276&amp;'Ffactorau Allyriadau'!$K$3:$K$276&amp;'Ffactorau Allyriadau'!$L$3:$L$276,0),MATCH('Teithio i’r Ysgol a Theithiau S'!I$7,'Ffactorau Allyriadau'!$K$2:$V$2,0)))</f>
        <v/>
      </c>
      <c r="J41" s="32" t="str">
        <f>IF(OR(G41="",I41=""),"",SUM(CommutingTable[[#This Row],[Direct]:[Indirect WTT]]))</f>
        <v/>
      </c>
      <c r="K41" s="122"/>
      <c r="L41" s="210" t="str">
        <f t="array" ref="L41">IF(OR($C41="",$E41="",CommutingTable[[#This Row],[Converted data]]=""),"",(INDEX('Ffactorau Allyriadau'!$K$3:$V$201,MATCH($B41&amp;$C41&amp;$D41,'Ffactorau Allyriadau'!$J$3:$J$201&amp;'Ffactorau Allyriadau'!$K$3:$K$201&amp;'Ffactorau Allyriadau'!$L$3:$L$201,0),MATCH(L$30,'Ffactorau Allyriadau'!$K$2:$V$2,0)))*$G41)</f>
        <v/>
      </c>
      <c r="M41" s="210" t="str">
        <f t="array" ref="M41">IF(OR($C41="",$E41="",CommutingTable[[#This Row],[Converted data]]=""),"",(INDEX('Ffactorau Allyriadau'!$K$3:$V$201,MATCH($B41&amp;$C41&amp;$D41,'Ffactorau Allyriadau'!$J$3:$J$201&amp;'Ffactorau Allyriadau'!$K$3:$K$201&amp;'Ffactorau Allyriadau'!$L$3:$L$201,0),MATCH(M$30,'Ffactorau Allyriadau'!$K$2:$V$2,0)))*$G41)</f>
        <v/>
      </c>
      <c r="N41" s="210" t="str">
        <f t="array" ref="N41">IF(OR($C41="",$E41="",CommutingTable[[#This Row],[Converted data]]=""),"",(INDEX('Ffactorau Allyriadau'!$K$3:$V$201,MATCH($B41&amp;$C41&amp;$D41,'Ffactorau Allyriadau'!$J$3:$J$201&amp;'Ffactorau Allyriadau'!$K$3:$K$201&amp;'Ffactorau Allyriadau'!$L$3:$L$201,0),MATCH(N$30,'Ffactorau Allyriadau'!$K$2:$V$2,0)))*$G41)</f>
        <v/>
      </c>
      <c r="O41" s="210" t="str">
        <f t="array" ref="O41">IF(OR($C41="",$E41="",CommutingTable[[#This Row],[Converted data]]=""),"",(INDEX('Ffactorau Allyriadau'!$K$3:$V$201,MATCH($B41&amp;$C41&amp;$D41,'Ffactorau Allyriadau'!$J$3:$J$201&amp;'Ffactorau Allyriadau'!$K$3:$K$201&amp;'Ffactorau Allyriadau'!$L$3:$L$201,0),MATCH(O$30,'Ffactorau Allyriadau'!$K$2:$V$2,0)))*$G41)</f>
        <v/>
      </c>
      <c r="P41" s="210" t="str">
        <f t="array" ref="P41">IF(OR($C41="",$E41="",CommutingTable[[#This Row],[Converted data]]=""),"",(INDEX('Ffactorau Allyriadau'!$K$3:$V$201,MATCH($B41&amp;$C41&amp;$D41,'Ffactorau Allyriadau'!$J$3:$J$201&amp;'Ffactorau Allyriadau'!$K$3:$K$201&amp;'Ffactorau Allyriadau'!$L$3:$L$201,0),MATCH(P$30,'Ffactorau Allyriadau'!$K$2:$V$2,0)))*$G41)</f>
        <v/>
      </c>
    </row>
    <row r="42" spans="2:16" ht="15" thickBot="1" x14ac:dyDescent="0.4">
      <c r="B42" s="126"/>
      <c r="C42" s="123"/>
      <c r="D42" s="123"/>
      <c r="E42" s="120"/>
      <c r="F42" s="123"/>
      <c r="G42" s="30" t="str">
        <f t="array" ref="G42">IF(OR($B42="",$C42="",$D42="",F42=""),"",IF(F42=H42,E42,(INDEX('Ffactorau Allyriadau'!$K$3:$V$276,MATCH($B42&amp;$C42&amp;$D42,'Ffactorau Allyriadau'!$J$3:$J$276&amp;'Ffactorau Allyriadau'!$K$3:$K$276&amp;'Ffactorau Allyriadau'!$L$3:$L$276,0),MATCH('Teithio i’r Ysgol a Theithiau S'!G$7,'Ffactorau Allyriadau'!$K$2:$V$2,0)))*E42))</f>
        <v/>
      </c>
      <c r="H42" s="29" t="str">
        <f t="array" ref="H42">IF(OR($B42="",$C42="",$E42=""),"",INDEX('Ffactorau Allyriadau'!$K$3:$V$276,MATCH($B42&amp;$C42&amp;$D42,'Ffactorau Allyriadau'!$J$3:$J$276&amp;'Ffactorau Allyriadau'!$K$3:$K$276&amp;'Ffactorau Allyriadau'!$L$3:$L$276,0),MATCH('Teithio i’r Ysgol a Theithiau S'!H$7,'Ffactorau Allyriadau'!$K$2:$V$2,0)))</f>
        <v/>
      </c>
      <c r="I42" s="29" t="str">
        <f t="array" ref="I42">IF(OR(B42="",C42="",D42=""),"",INDEX('Ffactorau Allyriadau'!$K$3:$V$276,MATCH($B42&amp;$C42&amp;$D42,'Ffactorau Allyriadau'!$J$3:$J$276&amp;'Ffactorau Allyriadau'!$K$3:$K$276&amp;'Ffactorau Allyriadau'!$L$3:$L$276,0),MATCH('Teithio i’r Ysgol a Theithiau S'!I$7,'Ffactorau Allyriadau'!$K$2:$V$2,0)))</f>
        <v/>
      </c>
      <c r="J42" s="32" t="str">
        <f>IF(OR(G42="",I42=""),"",SUM(CommutingTable[[#This Row],[Direct]:[Indirect WTT]]))</f>
        <v/>
      </c>
      <c r="K42" s="122"/>
      <c r="L42" s="210" t="str">
        <f t="array" ref="L42">IF(OR($C42="",$E42="",CommutingTable[[#This Row],[Converted data]]=""),"",(INDEX('Ffactorau Allyriadau'!$K$3:$V$201,MATCH($B42&amp;$C42&amp;$D42,'Ffactorau Allyriadau'!$J$3:$J$201&amp;'Ffactorau Allyriadau'!$K$3:$K$201&amp;'Ffactorau Allyriadau'!$L$3:$L$201,0),MATCH(L$30,'Ffactorau Allyriadau'!$K$2:$V$2,0)))*$G42)</f>
        <v/>
      </c>
      <c r="M42" s="210" t="str">
        <f t="array" ref="M42">IF(OR($C42="",$E42="",CommutingTable[[#This Row],[Converted data]]=""),"",(INDEX('Ffactorau Allyriadau'!$K$3:$V$201,MATCH($B42&amp;$C42&amp;$D42,'Ffactorau Allyriadau'!$J$3:$J$201&amp;'Ffactorau Allyriadau'!$K$3:$K$201&amp;'Ffactorau Allyriadau'!$L$3:$L$201,0),MATCH(M$30,'Ffactorau Allyriadau'!$K$2:$V$2,0)))*$G42)</f>
        <v/>
      </c>
      <c r="N42" s="210" t="str">
        <f t="array" ref="N42">IF(OR($C42="",$E42="",CommutingTable[[#This Row],[Converted data]]=""),"",(INDEX('Ffactorau Allyriadau'!$K$3:$V$201,MATCH($B42&amp;$C42&amp;$D42,'Ffactorau Allyriadau'!$J$3:$J$201&amp;'Ffactorau Allyriadau'!$K$3:$K$201&amp;'Ffactorau Allyriadau'!$L$3:$L$201,0),MATCH(N$30,'Ffactorau Allyriadau'!$K$2:$V$2,0)))*$G42)</f>
        <v/>
      </c>
      <c r="O42" s="210" t="str">
        <f t="array" ref="O42">IF(OR($C42="",$E42="",CommutingTable[[#This Row],[Converted data]]=""),"",(INDEX('Ffactorau Allyriadau'!$K$3:$V$201,MATCH($B42&amp;$C42&amp;$D42,'Ffactorau Allyriadau'!$J$3:$J$201&amp;'Ffactorau Allyriadau'!$K$3:$K$201&amp;'Ffactorau Allyriadau'!$L$3:$L$201,0),MATCH(O$30,'Ffactorau Allyriadau'!$K$2:$V$2,0)))*$G42)</f>
        <v/>
      </c>
      <c r="P42" s="210" t="str">
        <f t="array" ref="P42">IF(OR($C42="",$E42="",CommutingTable[[#This Row],[Converted data]]=""),"",(INDEX('Ffactorau Allyriadau'!$K$3:$V$201,MATCH($B42&amp;$C42&amp;$D42,'Ffactorau Allyriadau'!$J$3:$J$201&amp;'Ffactorau Allyriadau'!$K$3:$K$201&amp;'Ffactorau Allyriadau'!$L$3:$L$201,0),MATCH(P$30,'Ffactorau Allyriadau'!$K$2:$V$2,0)))*$G42)</f>
        <v/>
      </c>
    </row>
    <row r="43" spans="2:16" ht="15" thickBot="1" x14ac:dyDescent="0.4">
      <c r="B43" s="126"/>
      <c r="C43" s="123"/>
      <c r="D43" s="123"/>
      <c r="E43" s="120"/>
      <c r="F43" s="123"/>
      <c r="G43" s="30" t="str">
        <f t="array" ref="G43">IF(OR($B43="",$C43="",$D43="",F43=""),"",IF(F43=H43,E43,(INDEX('Ffactorau Allyriadau'!$K$3:$V$276,MATCH($B43&amp;$C43&amp;$D43,'Ffactorau Allyriadau'!$J$3:$J$276&amp;'Ffactorau Allyriadau'!$K$3:$K$276&amp;'Ffactorau Allyriadau'!$L$3:$L$276,0),MATCH('Teithio i’r Ysgol a Theithiau S'!G$7,'Ffactorau Allyriadau'!$K$2:$V$2,0)))*E43))</f>
        <v/>
      </c>
      <c r="H43" s="29" t="str">
        <f t="array" ref="H43">IF(OR($B43="",$C43="",$E43=""),"",INDEX('Ffactorau Allyriadau'!$K$3:$V$276,MATCH($B43&amp;$C43&amp;$D43,'Ffactorau Allyriadau'!$J$3:$J$276&amp;'Ffactorau Allyriadau'!$K$3:$K$276&amp;'Ffactorau Allyriadau'!$L$3:$L$276,0),MATCH('Teithio i’r Ysgol a Theithiau S'!H$7,'Ffactorau Allyriadau'!$K$2:$V$2,0)))</f>
        <v/>
      </c>
      <c r="I43" s="29" t="str">
        <f t="array" ref="I43">IF(OR(B43="",C43="",D43=""),"",INDEX('Ffactorau Allyriadau'!$K$3:$V$276,MATCH($B43&amp;$C43&amp;$D43,'Ffactorau Allyriadau'!$J$3:$J$276&amp;'Ffactorau Allyriadau'!$K$3:$K$276&amp;'Ffactorau Allyriadau'!$L$3:$L$276,0),MATCH('Teithio i’r Ysgol a Theithiau S'!I$7,'Ffactorau Allyriadau'!$K$2:$V$2,0)))</f>
        <v/>
      </c>
      <c r="J43" s="32" t="str">
        <f>IF(OR(G43="",I43=""),"",SUM(CommutingTable[[#This Row],[Direct]:[Indirect WTT]]))</f>
        <v/>
      </c>
      <c r="K43" s="122"/>
      <c r="L43" s="210" t="str">
        <f t="array" ref="L43">IF(OR($C43="",$E43="",CommutingTable[[#This Row],[Converted data]]=""),"",(INDEX('Ffactorau Allyriadau'!$K$3:$V$201,MATCH($B43&amp;$C43&amp;$D43,'Ffactorau Allyriadau'!$J$3:$J$201&amp;'Ffactorau Allyriadau'!$K$3:$K$201&amp;'Ffactorau Allyriadau'!$L$3:$L$201,0),MATCH(L$30,'Ffactorau Allyriadau'!$K$2:$V$2,0)))*$G43)</f>
        <v/>
      </c>
      <c r="M43" s="210" t="str">
        <f t="array" ref="M43">IF(OR($C43="",$E43="",CommutingTable[[#This Row],[Converted data]]=""),"",(INDEX('Ffactorau Allyriadau'!$K$3:$V$201,MATCH($B43&amp;$C43&amp;$D43,'Ffactorau Allyriadau'!$J$3:$J$201&amp;'Ffactorau Allyriadau'!$K$3:$K$201&amp;'Ffactorau Allyriadau'!$L$3:$L$201,0),MATCH(M$30,'Ffactorau Allyriadau'!$K$2:$V$2,0)))*$G43)</f>
        <v/>
      </c>
      <c r="N43" s="210" t="str">
        <f t="array" ref="N43">IF(OR($C43="",$E43="",CommutingTable[[#This Row],[Converted data]]=""),"",(INDEX('Ffactorau Allyriadau'!$K$3:$V$201,MATCH($B43&amp;$C43&amp;$D43,'Ffactorau Allyriadau'!$J$3:$J$201&amp;'Ffactorau Allyriadau'!$K$3:$K$201&amp;'Ffactorau Allyriadau'!$L$3:$L$201,0),MATCH(N$30,'Ffactorau Allyriadau'!$K$2:$V$2,0)))*$G43)</f>
        <v/>
      </c>
      <c r="O43" s="210" t="str">
        <f t="array" ref="O43">IF(OR($C43="",$E43="",CommutingTable[[#This Row],[Converted data]]=""),"",(INDEX('Ffactorau Allyriadau'!$K$3:$V$201,MATCH($B43&amp;$C43&amp;$D43,'Ffactorau Allyriadau'!$J$3:$J$201&amp;'Ffactorau Allyriadau'!$K$3:$K$201&amp;'Ffactorau Allyriadau'!$L$3:$L$201,0),MATCH(O$30,'Ffactorau Allyriadau'!$K$2:$V$2,0)))*$G43)</f>
        <v/>
      </c>
      <c r="P43" s="210" t="str">
        <f t="array" ref="P43">IF(OR($C43="",$E43="",CommutingTable[[#This Row],[Converted data]]=""),"",(INDEX('Ffactorau Allyriadau'!$K$3:$V$201,MATCH($B43&amp;$C43&amp;$D43,'Ffactorau Allyriadau'!$J$3:$J$201&amp;'Ffactorau Allyriadau'!$K$3:$K$201&amp;'Ffactorau Allyriadau'!$L$3:$L$201,0),MATCH(P$30,'Ffactorau Allyriadau'!$K$2:$V$2,0)))*$G43)</f>
        <v/>
      </c>
    </row>
    <row r="44" spans="2:16" ht="15" thickBot="1" x14ac:dyDescent="0.4">
      <c r="B44" s="126"/>
      <c r="C44" s="123"/>
      <c r="D44" s="123"/>
      <c r="E44" s="120"/>
      <c r="F44" s="123"/>
      <c r="G44" s="30" t="str">
        <f t="array" ref="G44">IF(OR($B44="",$C44="",$D44="",F44=""),"",IF(F44=H44,E44,(INDEX('Ffactorau Allyriadau'!$K$3:$V$276,MATCH($B44&amp;$C44&amp;$D44,'Ffactorau Allyriadau'!$J$3:$J$276&amp;'Ffactorau Allyriadau'!$K$3:$K$276&amp;'Ffactorau Allyriadau'!$L$3:$L$276,0),MATCH('Teithio i’r Ysgol a Theithiau S'!G$7,'Ffactorau Allyriadau'!$K$2:$V$2,0)))*E44))</f>
        <v/>
      </c>
      <c r="H44" s="29" t="str">
        <f t="array" ref="H44">IF(OR($B44="",$C44="",$E44=""),"",INDEX('Ffactorau Allyriadau'!$K$3:$V$276,MATCH($B44&amp;$C44&amp;$D44,'Ffactorau Allyriadau'!$J$3:$J$276&amp;'Ffactorau Allyriadau'!$K$3:$K$276&amp;'Ffactorau Allyriadau'!$L$3:$L$276,0),MATCH('Teithio i’r Ysgol a Theithiau S'!H$7,'Ffactorau Allyriadau'!$K$2:$V$2,0)))</f>
        <v/>
      </c>
      <c r="I44" s="29" t="str">
        <f t="array" ref="I44">IF(OR(B44="",C44="",D44=""),"",INDEX('Ffactorau Allyriadau'!$K$3:$V$276,MATCH($B44&amp;$C44&amp;$D44,'Ffactorau Allyriadau'!$J$3:$J$276&amp;'Ffactorau Allyriadau'!$K$3:$K$276&amp;'Ffactorau Allyriadau'!$L$3:$L$276,0),MATCH('Teithio i’r Ysgol a Theithiau S'!I$7,'Ffactorau Allyriadau'!$K$2:$V$2,0)))</f>
        <v/>
      </c>
      <c r="J44" s="32" t="str">
        <f>IF(OR(G44="",I44=""),"",SUM(CommutingTable[[#This Row],[Direct]:[Indirect WTT]]))</f>
        <v/>
      </c>
      <c r="K44" s="122"/>
      <c r="L44" s="210" t="str">
        <f t="array" ref="L44">IF(OR($C44="",$E44="",CommutingTable[[#This Row],[Converted data]]=""),"",(INDEX('Ffactorau Allyriadau'!$K$3:$V$201,MATCH($B44&amp;$C44&amp;$D44,'Ffactorau Allyriadau'!$J$3:$J$201&amp;'Ffactorau Allyriadau'!$K$3:$K$201&amp;'Ffactorau Allyriadau'!$L$3:$L$201,0),MATCH(L$30,'Ffactorau Allyriadau'!$K$2:$V$2,0)))*$G44)</f>
        <v/>
      </c>
      <c r="M44" s="210" t="str">
        <f t="array" ref="M44">IF(OR($C44="",$E44="",CommutingTable[[#This Row],[Converted data]]=""),"",(INDEX('Ffactorau Allyriadau'!$K$3:$V$201,MATCH($B44&amp;$C44&amp;$D44,'Ffactorau Allyriadau'!$J$3:$J$201&amp;'Ffactorau Allyriadau'!$K$3:$K$201&amp;'Ffactorau Allyriadau'!$L$3:$L$201,0),MATCH(M$30,'Ffactorau Allyriadau'!$K$2:$V$2,0)))*$G44)</f>
        <v/>
      </c>
      <c r="N44" s="210" t="str">
        <f t="array" ref="N44">IF(OR($C44="",$E44="",CommutingTable[[#This Row],[Converted data]]=""),"",(INDEX('Ffactorau Allyriadau'!$K$3:$V$201,MATCH($B44&amp;$C44&amp;$D44,'Ffactorau Allyriadau'!$J$3:$J$201&amp;'Ffactorau Allyriadau'!$K$3:$K$201&amp;'Ffactorau Allyriadau'!$L$3:$L$201,0),MATCH(N$30,'Ffactorau Allyriadau'!$K$2:$V$2,0)))*$G44)</f>
        <v/>
      </c>
      <c r="O44" s="210" t="str">
        <f t="array" ref="O44">IF(OR($C44="",$E44="",CommutingTable[[#This Row],[Converted data]]=""),"",(INDEX('Ffactorau Allyriadau'!$K$3:$V$201,MATCH($B44&amp;$C44&amp;$D44,'Ffactorau Allyriadau'!$J$3:$J$201&amp;'Ffactorau Allyriadau'!$K$3:$K$201&amp;'Ffactorau Allyriadau'!$L$3:$L$201,0),MATCH(O$30,'Ffactorau Allyriadau'!$K$2:$V$2,0)))*$G44)</f>
        <v/>
      </c>
      <c r="P44" s="210" t="str">
        <f t="array" ref="P44">IF(OR($C44="",$E44="",CommutingTable[[#This Row],[Converted data]]=""),"",(INDEX('Ffactorau Allyriadau'!$K$3:$V$201,MATCH($B44&amp;$C44&amp;$D44,'Ffactorau Allyriadau'!$J$3:$J$201&amp;'Ffactorau Allyriadau'!$K$3:$K$201&amp;'Ffactorau Allyriadau'!$L$3:$L$201,0),MATCH(P$30,'Ffactorau Allyriadau'!$K$2:$V$2,0)))*$G44)</f>
        <v/>
      </c>
    </row>
    <row r="45" spans="2:16" ht="15" thickBot="1" x14ac:dyDescent="0.4">
      <c r="B45" s="126"/>
      <c r="C45" s="123"/>
      <c r="D45" s="123"/>
      <c r="E45" s="120"/>
      <c r="F45" s="123"/>
      <c r="G45" s="30" t="str">
        <f t="array" ref="G45">IF(OR($B45="",$C45="",$D45="",F45=""),"",IF(F45=H45,E45,(INDEX('Ffactorau Allyriadau'!$K$3:$V$276,MATCH($B45&amp;$C45&amp;$D45,'Ffactorau Allyriadau'!$J$3:$J$276&amp;'Ffactorau Allyriadau'!$K$3:$K$276&amp;'Ffactorau Allyriadau'!$L$3:$L$276,0),MATCH('Teithio i’r Ysgol a Theithiau S'!G$7,'Ffactorau Allyriadau'!$K$2:$V$2,0)))*E45))</f>
        <v/>
      </c>
      <c r="H45" s="29" t="str">
        <f t="array" ref="H45">IF(OR($B45="",$C45="",$E45=""),"",INDEX('Ffactorau Allyriadau'!$K$3:$V$276,MATCH($B45&amp;$C45&amp;$D45,'Ffactorau Allyriadau'!$J$3:$J$276&amp;'Ffactorau Allyriadau'!$K$3:$K$276&amp;'Ffactorau Allyriadau'!$L$3:$L$276,0),MATCH('Teithio i’r Ysgol a Theithiau S'!H$7,'Ffactorau Allyriadau'!$K$2:$V$2,0)))</f>
        <v/>
      </c>
      <c r="I45" s="29" t="str">
        <f t="array" ref="I45">IF(OR(B45="",C45="",D45=""),"",INDEX('Ffactorau Allyriadau'!$K$3:$V$276,MATCH($B45&amp;$C45&amp;$D45,'Ffactorau Allyriadau'!$J$3:$J$276&amp;'Ffactorau Allyriadau'!$K$3:$K$276&amp;'Ffactorau Allyriadau'!$L$3:$L$276,0),MATCH('Teithio i’r Ysgol a Theithiau S'!I$7,'Ffactorau Allyriadau'!$K$2:$V$2,0)))</f>
        <v/>
      </c>
      <c r="J45" s="32" t="str">
        <f>IF(OR(G45="",I45=""),"",SUM(CommutingTable[[#This Row],[Direct]:[Indirect WTT]]))</f>
        <v/>
      </c>
      <c r="K45" s="122"/>
      <c r="L45" s="210" t="str">
        <f t="array" ref="L45">IF(OR($C45="",$E45="",CommutingTable[[#This Row],[Converted data]]=""),"",(INDEX('Ffactorau Allyriadau'!$K$3:$V$201,MATCH($B45&amp;$C45&amp;$D45,'Ffactorau Allyriadau'!$J$3:$J$201&amp;'Ffactorau Allyriadau'!$K$3:$K$201&amp;'Ffactorau Allyriadau'!$L$3:$L$201,0),MATCH(L$30,'Ffactorau Allyriadau'!$K$2:$V$2,0)))*$G45)</f>
        <v/>
      </c>
      <c r="M45" s="210" t="str">
        <f t="array" ref="M45">IF(OR($C45="",$E45="",CommutingTable[[#This Row],[Converted data]]=""),"",(INDEX('Ffactorau Allyriadau'!$K$3:$V$201,MATCH($B45&amp;$C45&amp;$D45,'Ffactorau Allyriadau'!$J$3:$J$201&amp;'Ffactorau Allyriadau'!$K$3:$K$201&amp;'Ffactorau Allyriadau'!$L$3:$L$201,0),MATCH(M$30,'Ffactorau Allyriadau'!$K$2:$V$2,0)))*$G45)</f>
        <v/>
      </c>
      <c r="N45" s="210" t="str">
        <f t="array" ref="N45">IF(OR($C45="",$E45="",CommutingTable[[#This Row],[Converted data]]=""),"",(INDEX('Ffactorau Allyriadau'!$K$3:$V$201,MATCH($B45&amp;$C45&amp;$D45,'Ffactorau Allyriadau'!$J$3:$J$201&amp;'Ffactorau Allyriadau'!$K$3:$K$201&amp;'Ffactorau Allyriadau'!$L$3:$L$201,0),MATCH(N$30,'Ffactorau Allyriadau'!$K$2:$V$2,0)))*$G45)</f>
        <v/>
      </c>
      <c r="O45" s="210" t="str">
        <f t="array" ref="O45">IF(OR($C45="",$E45="",CommutingTable[[#This Row],[Converted data]]=""),"",(INDEX('Ffactorau Allyriadau'!$K$3:$V$201,MATCH($B45&amp;$C45&amp;$D45,'Ffactorau Allyriadau'!$J$3:$J$201&amp;'Ffactorau Allyriadau'!$K$3:$K$201&amp;'Ffactorau Allyriadau'!$L$3:$L$201,0),MATCH(O$30,'Ffactorau Allyriadau'!$K$2:$V$2,0)))*$G45)</f>
        <v/>
      </c>
      <c r="P45" s="210" t="str">
        <f t="array" ref="P45">IF(OR($C45="",$E45="",CommutingTable[[#This Row],[Converted data]]=""),"",(INDEX('Ffactorau Allyriadau'!$K$3:$V$201,MATCH($B45&amp;$C45&amp;$D45,'Ffactorau Allyriadau'!$J$3:$J$201&amp;'Ffactorau Allyriadau'!$K$3:$K$201&amp;'Ffactorau Allyriadau'!$L$3:$L$201,0),MATCH(P$30,'Ffactorau Allyriadau'!$K$2:$V$2,0)))*$G45)</f>
        <v/>
      </c>
    </row>
    <row r="46" spans="2:16" ht="15" thickBot="1" x14ac:dyDescent="0.4">
      <c r="B46" s="126"/>
      <c r="C46" s="123"/>
      <c r="D46" s="123"/>
      <c r="E46" s="120"/>
      <c r="F46" s="123"/>
      <c r="G46" s="30" t="str">
        <f t="array" ref="G46">IF(OR($B46="",$C46="",$D46="",F46=""),"",IF(F46=H46,E46,(INDEX('Ffactorau Allyriadau'!$K$3:$V$276,MATCH($B46&amp;$C46&amp;$D46,'Ffactorau Allyriadau'!$J$3:$J$276&amp;'Ffactorau Allyriadau'!$K$3:$K$276&amp;'Ffactorau Allyriadau'!$L$3:$L$276,0),MATCH('Teithio i’r Ysgol a Theithiau S'!G$7,'Ffactorau Allyriadau'!$K$2:$V$2,0)))*E46))</f>
        <v/>
      </c>
      <c r="H46" s="29" t="str">
        <f t="array" ref="H46">IF(OR($B46="",$C46="",$E46=""),"",INDEX('Ffactorau Allyriadau'!$K$3:$V$276,MATCH($B46&amp;$C46&amp;$D46,'Ffactorau Allyriadau'!$J$3:$J$276&amp;'Ffactorau Allyriadau'!$K$3:$K$276&amp;'Ffactorau Allyriadau'!$L$3:$L$276,0),MATCH('Teithio i’r Ysgol a Theithiau S'!H$7,'Ffactorau Allyriadau'!$K$2:$V$2,0)))</f>
        <v/>
      </c>
      <c r="I46" s="29" t="str">
        <f t="array" ref="I46">IF(OR(B46="",C46="",D46=""),"",INDEX('Ffactorau Allyriadau'!$K$3:$V$276,MATCH($B46&amp;$C46&amp;$D46,'Ffactorau Allyriadau'!$J$3:$J$276&amp;'Ffactorau Allyriadau'!$K$3:$K$276&amp;'Ffactorau Allyriadau'!$L$3:$L$276,0),MATCH('Teithio i’r Ysgol a Theithiau S'!I$7,'Ffactorau Allyriadau'!$K$2:$V$2,0)))</f>
        <v/>
      </c>
      <c r="J46" s="32" t="str">
        <f>IF(OR(G46="",I46=""),"",SUM(CommutingTable[[#This Row],[Direct]:[Indirect WTT]]))</f>
        <v/>
      </c>
      <c r="K46" s="122"/>
      <c r="L46" s="210" t="str">
        <f t="array" ref="L46">IF(OR($C46="",$E46="",CommutingTable[[#This Row],[Converted data]]=""),"",(INDEX('Ffactorau Allyriadau'!$K$3:$V$201,MATCH($B46&amp;$C46&amp;$D46,'Ffactorau Allyriadau'!$J$3:$J$201&amp;'Ffactorau Allyriadau'!$K$3:$K$201&amp;'Ffactorau Allyriadau'!$L$3:$L$201,0),MATCH(L$30,'Ffactorau Allyriadau'!$K$2:$V$2,0)))*$G46)</f>
        <v/>
      </c>
      <c r="M46" s="210" t="str">
        <f t="array" ref="M46">IF(OR($C46="",$E46="",CommutingTable[[#This Row],[Converted data]]=""),"",(INDEX('Ffactorau Allyriadau'!$K$3:$V$201,MATCH($B46&amp;$C46&amp;$D46,'Ffactorau Allyriadau'!$J$3:$J$201&amp;'Ffactorau Allyriadau'!$K$3:$K$201&amp;'Ffactorau Allyriadau'!$L$3:$L$201,0),MATCH(M$30,'Ffactorau Allyriadau'!$K$2:$V$2,0)))*$G46)</f>
        <v/>
      </c>
      <c r="N46" s="210" t="str">
        <f t="array" ref="N46">IF(OR($C46="",$E46="",CommutingTable[[#This Row],[Converted data]]=""),"",(INDEX('Ffactorau Allyriadau'!$K$3:$V$201,MATCH($B46&amp;$C46&amp;$D46,'Ffactorau Allyriadau'!$J$3:$J$201&amp;'Ffactorau Allyriadau'!$K$3:$K$201&amp;'Ffactorau Allyriadau'!$L$3:$L$201,0),MATCH(N$30,'Ffactorau Allyriadau'!$K$2:$V$2,0)))*$G46)</f>
        <v/>
      </c>
      <c r="O46" s="210" t="str">
        <f t="array" ref="O46">IF(OR($C46="",$E46="",CommutingTable[[#This Row],[Converted data]]=""),"",(INDEX('Ffactorau Allyriadau'!$K$3:$V$201,MATCH($B46&amp;$C46&amp;$D46,'Ffactorau Allyriadau'!$J$3:$J$201&amp;'Ffactorau Allyriadau'!$K$3:$K$201&amp;'Ffactorau Allyriadau'!$L$3:$L$201,0),MATCH(O$30,'Ffactorau Allyriadau'!$K$2:$V$2,0)))*$G46)</f>
        <v/>
      </c>
      <c r="P46" s="210" t="str">
        <f t="array" ref="P46">IF(OR($C46="",$E46="",CommutingTable[[#This Row],[Converted data]]=""),"",(INDEX('Ffactorau Allyriadau'!$K$3:$V$201,MATCH($B46&amp;$C46&amp;$D46,'Ffactorau Allyriadau'!$J$3:$J$201&amp;'Ffactorau Allyriadau'!$K$3:$K$201&amp;'Ffactorau Allyriadau'!$L$3:$L$201,0),MATCH(P$30,'Ffactorau Allyriadau'!$K$2:$V$2,0)))*$G46)</f>
        <v/>
      </c>
    </row>
    <row r="47" spans="2:16" ht="15" thickBot="1" x14ac:dyDescent="0.4">
      <c r="B47" s="126"/>
      <c r="C47" s="123"/>
      <c r="D47" s="123"/>
      <c r="E47" s="120"/>
      <c r="F47" s="123"/>
      <c r="G47" s="30" t="str">
        <f t="array" ref="G47">IF(OR($B47="",$C47="",$D47="",F47=""),"",IF(F47=H47,E47,(INDEX('Ffactorau Allyriadau'!$K$3:$V$276,MATCH($B47&amp;$C47&amp;$D47,'Ffactorau Allyriadau'!$J$3:$J$276&amp;'Ffactorau Allyriadau'!$K$3:$K$276&amp;'Ffactorau Allyriadau'!$L$3:$L$276,0),MATCH('Teithio i’r Ysgol a Theithiau S'!G$7,'Ffactorau Allyriadau'!$K$2:$V$2,0)))*E47))</f>
        <v/>
      </c>
      <c r="H47" s="29" t="str">
        <f t="array" ref="H47">IF(OR($B47="",$C47="",$E47=""),"",INDEX('Ffactorau Allyriadau'!$K$3:$V$276,MATCH($B47&amp;$C47&amp;$D47,'Ffactorau Allyriadau'!$J$3:$J$276&amp;'Ffactorau Allyriadau'!$K$3:$K$276&amp;'Ffactorau Allyriadau'!$L$3:$L$276,0),MATCH('Teithio i’r Ysgol a Theithiau S'!H$7,'Ffactorau Allyriadau'!$K$2:$V$2,0)))</f>
        <v/>
      </c>
      <c r="I47" s="29" t="str">
        <f t="array" ref="I47">IF(OR(B47="",C47="",D47=""),"",INDEX('Ffactorau Allyriadau'!$K$3:$V$276,MATCH($B47&amp;$C47&amp;$D47,'Ffactorau Allyriadau'!$J$3:$J$276&amp;'Ffactorau Allyriadau'!$K$3:$K$276&amp;'Ffactorau Allyriadau'!$L$3:$L$276,0),MATCH('Teithio i’r Ysgol a Theithiau S'!I$7,'Ffactorau Allyriadau'!$K$2:$V$2,0)))</f>
        <v/>
      </c>
      <c r="J47" s="32" t="str">
        <f>IF(OR(G47="",I47=""),"",SUM(CommutingTable[[#This Row],[Direct]:[Indirect WTT]]))</f>
        <v/>
      </c>
      <c r="K47" s="122"/>
      <c r="L47" s="210" t="str">
        <f t="array" ref="L47">IF(OR($C47="",$E47="",CommutingTable[[#This Row],[Converted data]]=""),"",(INDEX('Ffactorau Allyriadau'!$K$3:$V$201,MATCH($B47&amp;$C47&amp;$D47,'Ffactorau Allyriadau'!$J$3:$J$201&amp;'Ffactorau Allyriadau'!$K$3:$K$201&amp;'Ffactorau Allyriadau'!$L$3:$L$201,0),MATCH(L$30,'Ffactorau Allyriadau'!$K$2:$V$2,0)))*$G47)</f>
        <v/>
      </c>
      <c r="M47" s="210" t="str">
        <f t="array" ref="M47">IF(OR($C47="",$E47="",CommutingTable[[#This Row],[Converted data]]=""),"",(INDEX('Ffactorau Allyriadau'!$K$3:$V$201,MATCH($B47&amp;$C47&amp;$D47,'Ffactorau Allyriadau'!$J$3:$J$201&amp;'Ffactorau Allyriadau'!$K$3:$K$201&amp;'Ffactorau Allyriadau'!$L$3:$L$201,0),MATCH(M$30,'Ffactorau Allyriadau'!$K$2:$V$2,0)))*$G47)</f>
        <v/>
      </c>
      <c r="N47" s="210" t="str">
        <f t="array" ref="N47">IF(OR($C47="",$E47="",CommutingTable[[#This Row],[Converted data]]=""),"",(INDEX('Ffactorau Allyriadau'!$K$3:$V$201,MATCH($B47&amp;$C47&amp;$D47,'Ffactorau Allyriadau'!$J$3:$J$201&amp;'Ffactorau Allyriadau'!$K$3:$K$201&amp;'Ffactorau Allyriadau'!$L$3:$L$201,0),MATCH(N$30,'Ffactorau Allyriadau'!$K$2:$V$2,0)))*$G47)</f>
        <v/>
      </c>
      <c r="O47" s="210" t="str">
        <f t="array" ref="O47">IF(OR($C47="",$E47="",CommutingTable[[#This Row],[Converted data]]=""),"",(INDEX('Ffactorau Allyriadau'!$K$3:$V$201,MATCH($B47&amp;$C47&amp;$D47,'Ffactorau Allyriadau'!$J$3:$J$201&amp;'Ffactorau Allyriadau'!$K$3:$K$201&amp;'Ffactorau Allyriadau'!$L$3:$L$201,0),MATCH(O$30,'Ffactorau Allyriadau'!$K$2:$V$2,0)))*$G47)</f>
        <v/>
      </c>
      <c r="P47" s="210" t="str">
        <f t="array" ref="P47">IF(OR($C47="",$E47="",CommutingTable[[#This Row],[Converted data]]=""),"",(INDEX('Ffactorau Allyriadau'!$K$3:$V$201,MATCH($B47&amp;$C47&amp;$D47,'Ffactorau Allyriadau'!$J$3:$J$201&amp;'Ffactorau Allyriadau'!$K$3:$K$201&amp;'Ffactorau Allyriadau'!$L$3:$L$201,0),MATCH(P$30,'Ffactorau Allyriadau'!$K$2:$V$2,0)))*$G47)</f>
        <v/>
      </c>
    </row>
    <row r="48" spans="2:16" ht="15" thickBot="1" x14ac:dyDescent="0.4">
      <c r="B48" s="126"/>
      <c r="C48" s="123"/>
      <c r="D48" s="123"/>
      <c r="E48" s="120"/>
      <c r="F48" s="123"/>
      <c r="G48" s="30" t="str">
        <f t="array" ref="G48">IF(OR($B48="",$C48="",$D48="",F48=""),"",IF(F48=H48,E48,(INDEX('Ffactorau Allyriadau'!$K$3:$V$276,MATCH($B48&amp;$C48&amp;$D48,'Ffactorau Allyriadau'!$J$3:$J$276&amp;'Ffactorau Allyriadau'!$K$3:$K$276&amp;'Ffactorau Allyriadau'!$L$3:$L$276,0),MATCH('Teithio i’r Ysgol a Theithiau S'!G$7,'Ffactorau Allyriadau'!$K$2:$V$2,0)))*E48))</f>
        <v/>
      </c>
      <c r="H48" s="29" t="str">
        <f t="array" ref="H48">IF(OR($B48="",$C48="",$E48=""),"",INDEX('Ffactorau Allyriadau'!$K$3:$V$276,MATCH($B48&amp;$C48&amp;$D48,'Ffactorau Allyriadau'!$J$3:$J$276&amp;'Ffactorau Allyriadau'!$K$3:$K$276&amp;'Ffactorau Allyriadau'!$L$3:$L$276,0),MATCH('Teithio i’r Ysgol a Theithiau S'!H$7,'Ffactorau Allyriadau'!$K$2:$V$2,0)))</f>
        <v/>
      </c>
      <c r="I48" s="29" t="str">
        <f t="array" ref="I48">IF(OR(B48="",C48="",D48=""),"",INDEX('Ffactorau Allyriadau'!$K$3:$V$276,MATCH($B48&amp;$C48&amp;$D48,'Ffactorau Allyriadau'!$J$3:$J$276&amp;'Ffactorau Allyriadau'!$K$3:$K$276&amp;'Ffactorau Allyriadau'!$L$3:$L$276,0),MATCH('Teithio i’r Ysgol a Theithiau S'!I$7,'Ffactorau Allyriadau'!$K$2:$V$2,0)))</f>
        <v/>
      </c>
      <c r="J48" s="32" t="str">
        <f>IF(OR(G48="",I48=""),"",SUM(CommutingTable[[#This Row],[Direct]:[Indirect WTT]]))</f>
        <v/>
      </c>
      <c r="K48" s="122"/>
      <c r="L48" s="210" t="str">
        <f t="array" ref="L48">IF(OR($C48="",$E48="",CommutingTable[[#This Row],[Converted data]]=""),"",(INDEX('Ffactorau Allyriadau'!$K$3:$V$201,MATCH($B48&amp;$C48&amp;$D48,'Ffactorau Allyriadau'!$J$3:$J$201&amp;'Ffactorau Allyriadau'!$K$3:$K$201&amp;'Ffactorau Allyriadau'!$L$3:$L$201,0),MATCH(L$30,'Ffactorau Allyriadau'!$K$2:$V$2,0)))*$G48)</f>
        <v/>
      </c>
      <c r="M48" s="210" t="str">
        <f t="array" ref="M48">IF(OR($C48="",$E48="",CommutingTable[[#This Row],[Converted data]]=""),"",(INDEX('Ffactorau Allyriadau'!$K$3:$V$201,MATCH($B48&amp;$C48&amp;$D48,'Ffactorau Allyriadau'!$J$3:$J$201&amp;'Ffactorau Allyriadau'!$K$3:$K$201&amp;'Ffactorau Allyriadau'!$L$3:$L$201,0),MATCH(M$30,'Ffactorau Allyriadau'!$K$2:$V$2,0)))*$G48)</f>
        <v/>
      </c>
      <c r="N48" s="210" t="str">
        <f t="array" ref="N48">IF(OR($C48="",$E48="",CommutingTable[[#This Row],[Converted data]]=""),"",(INDEX('Ffactorau Allyriadau'!$K$3:$V$201,MATCH($B48&amp;$C48&amp;$D48,'Ffactorau Allyriadau'!$J$3:$J$201&amp;'Ffactorau Allyriadau'!$K$3:$K$201&amp;'Ffactorau Allyriadau'!$L$3:$L$201,0),MATCH(N$30,'Ffactorau Allyriadau'!$K$2:$V$2,0)))*$G48)</f>
        <v/>
      </c>
      <c r="O48" s="210" t="str">
        <f t="array" ref="O48">IF(OR($C48="",$E48="",CommutingTable[[#This Row],[Converted data]]=""),"",(INDEX('Ffactorau Allyriadau'!$K$3:$V$201,MATCH($B48&amp;$C48&amp;$D48,'Ffactorau Allyriadau'!$J$3:$J$201&amp;'Ffactorau Allyriadau'!$K$3:$K$201&amp;'Ffactorau Allyriadau'!$L$3:$L$201,0),MATCH(O$30,'Ffactorau Allyriadau'!$K$2:$V$2,0)))*$G48)</f>
        <v/>
      </c>
      <c r="P48" s="210" t="str">
        <f t="array" ref="P48">IF(OR($C48="",$E48="",CommutingTable[[#This Row],[Converted data]]=""),"",(INDEX('Ffactorau Allyriadau'!$K$3:$V$201,MATCH($B48&amp;$C48&amp;$D48,'Ffactorau Allyriadau'!$J$3:$J$201&amp;'Ffactorau Allyriadau'!$K$3:$K$201&amp;'Ffactorau Allyriadau'!$L$3:$L$201,0),MATCH(P$30,'Ffactorau Allyriadau'!$K$2:$V$2,0)))*$G48)</f>
        <v/>
      </c>
    </row>
    <row r="49" spans="2:22" ht="15" thickBot="1" x14ac:dyDescent="0.4">
      <c r="B49" s="126"/>
      <c r="C49" s="123"/>
      <c r="D49" s="123"/>
      <c r="E49" s="120"/>
      <c r="F49" s="123"/>
      <c r="G49" s="42" t="str">
        <f t="array" ref="G49">IF(OR($B49="",$C49="",$D49="",F49=""),"",IF(F49=H49,E49,(INDEX('Ffactorau Allyriadau'!$K$3:$V$276,MATCH($B49&amp;$C49&amp;$D49,'Ffactorau Allyriadau'!$J$3:$J$276&amp;'Ffactorau Allyriadau'!$K$3:$K$276&amp;'Ffactorau Allyriadau'!$L$3:$L$276,0),MATCH('Teithio i’r Ysgol a Theithiau S'!G$7,'Ffactorau Allyriadau'!$K$2:$V$2,0)))*E49))</f>
        <v/>
      </c>
      <c r="H49" s="43" t="str">
        <f t="array" ref="H49">IF(OR($B49="",$C49="",$E49=""),"",INDEX('Ffactorau Allyriadau'!$K$3:$V$276,MATCH($B49&amp;$C49&amp;$D49,'Ffactorau Allyriadau'!$J$3:$J$276&amp;'Ffactorau Allyriadau'!$K$3:$K$276&amp;'Ffactorau Allyriadau'!$L$3:$L$276,0),MATCH('Teithio i’r Ysgol a Theithiau S'!H$7,'Ffactorau Allyriadau'!$K$2:$V$2,0)))</f>
        <v/>
      </c>
      <c r="I49" s="43" t="str">
        <f t="array" ref="I49">IF(OR(B49="",C49="",D49=""),"",INDEX('Ffactorau Allyriadau'!$K$3:$V$276,MATCH($B49&amp;$C49&amp;$D49,'Ffactorau Allyriadau'!$J$3:$J$276&amp;'Ffactorau Allyriadau'!$K$3:$K$276&amp;'Ffactorau Allyriadau'!$L$3:$L$276,0),MATCH('Teithio i’r Ysgol a Theithiau S'!I$7,'Ffactorau Allyriadau'!$K$2:$V$2,0)))</f>
        <v/>
      </c>
      <c r="J49" s="32" t="str">
        <f>IF(OR(G49="",I49=""),"",SUM(CommutingTable[[#This Row],[Direct]:[Indirect WTT]]))</f>
        <v/>
      </c>
      <c r="K49" s="124"/>
      <c r="L49" s="210" t="str">
        <f t="array" ref="L49">IF(OR($C49="",$E49="",CommutingTable[[#This Row],[Converted data]]=""),"",(INDEX('Ffactorau Allyriadau'!$K$3:$V$201,MATCH($B49&amp;$C49&amp;$D49,'Ffactorau Allyriadau'!$J$3:$J$201&amp;'Ffactorau Allyriadau'!$K$3:$K$201&amp;'Ffactorau Allyriadau'!$L$3:$L$201,0),MATCH(L$30,'Ffactorau Allyriadau'!$K$2:$V$2,0)))*$G49)</f>
        <v/>
      </c>
      <c r="M49" s="210" t="str">
        <f t="array" ref="M49">IF(OR($C49="",$E49="",CommutingTable[[#This Row],[Converted data]]=""),"",(INDEX('Ffactorau Allyriadau'!$K$3:$V$201,MATCH($B49&amp;$C49&amp;$D49,'Ffactorau Allyriadau'!$J$3:$J$201&amp;'Ffactorau Allyriadau'!$K$3:$K$201&amp;'Ffactorau Allyriadau'!$L$3:$L$201,0),MATCH(M$30,'Ffactorau Allyriadau'!$K$2:$V$2,0)))*$G49)</f>
        <v/>
      </c>
      <c r="N49" s="210" t="str">
        <f t="array" ref="N49">IF(OR($C49="",$E49="",CommutingTable[[#This Row],[Converted data]]=""),"",(INDEX('Ffactorau Allyriadau'!$K$3:$V$201,MATCH($B49&amp;$C49&amp;$D49,'Ffactorau Allyriadau'!$J$3:$J$201&amp;'Ffactorau Allyriadau'!$K$3:$K$201&amp;'Ffactorau Allyriadau'!$L$3:$L$201,0),MATCH(N$30,'Ffactorau Allyriadau'!$K$2:$V$2,0)))*$G49)</f>
        <v/>
      </c>
      <c r="O49" s="210" t="str">
        <f t="array" ref="O49">IF(OR($C49="",$E49="",CommutingTable[[#This Row],[Converted data]]=""),"",(INDEX('Ffactorau Allyriadau'!$K$3:$V$201,MATCH($B49&amp;$C49&amp;$D49,'Ffactorau Allyriadau'!$J$3:$J$201&amp;'Ffactorau Allyriadau'!$K$3:$K$201&amp;'Ffactorau Allyriadau'!$L$3:$L$201,0),MATCH(O$30,'Ffactorau Allyriadau'!$K$2:$V$2,0)))*$G49)</f>
        <v/>
      </c>
      <c r="P49" s="210" t="str">
        <f t="array" ref="P49">IF(OR($C49="",$E49="",CommutingTable[[#This Row],[Converted data]]=""),"",(INDEX('Ffactorau Allyriadau'!$K$3:$V$201,MATCH($B49&amp;$C49&amp;$D49,'Ffactorau Allyriadau'!$J$3:$J$201&amp;'Ffactorau Allyriadau'!$K$3:$K$201&amp;'Ffactorau Allyriadau'!$L$3:$L$201,0),MATCH(P$30,'Ffactorau Allyriadau'!$K$2:$V$2,0)))*$G49)</f>
        <v/>
      </c>
    </row>
    <row r="50" spans="2:22" x14ac:dyDescent="0.35">
      <c r="U50" s="215"/>
      <c r="V50" s="54"/>
    </row>
    <row r="51" spans="2:22" x14ac:dyDescent="0.35">
      <c r="U51" s="215"/>
      <c r="V51" s="54"/>
    </row>
  </sheetData>
  <mergeCells count="8">
    <mergeCell ref="O1:P1"/>
    <mergeCell ref="Q1:R1"/>
    <mergeCell ref="O2:P2"/>
    <mergeCell ref="Q2:R2"/>
    <mergeCell ref="B5:N5"/>
    <mergeCell ref="B2:M2"/>
    <mergeCell ref="B4:M4"/>
    <mergeCell ref="B3:M3"/>
  </mergeCells>
  <conditionalFormatting sqref="B7:D27 B30:D49">
    <cfRule type="expression" dxfId="16" priority="28">
      <formula>ISERROR($J7)</formula>
    </cfRule>
  </conditionalFormatting>
  <conditionalFormatting sqref="B1:E1 B2:B4 B5:E5 B28:E28 B50:E189">
    <cfRule type="expression" dxfId="15" priority="3">
      <formula>ISERROR($L1)</formula>
    </cfRule>
  </conditionalFormatting>
  <conditionalFormatting sqref="I1 I5:I6 G7:G27 I28:I29 G30:G49 I50:I1048576">
    <cfRule type="cellIs" dxfId="14" priority="4" operator="equal">
      <formula>"There is an error in this table, see highlighted row(s)"</formula>
    </cfRule>
    <cfRule type="cellIs" dxfId="13" priority="5" operator="equal">
      <formula>"No errors in this table"</formula>
    </cfRule>
  </conditionalFormatting>
  <dataValidations count="9">
    <dataValidation type="list" allowBlank="1" showInputMessage="1" showErrorMessage="1" sqref="D13" xr:uid="{00000000-0002-0000-0300-000000000000}">
      <formula1>Methodologyall</formula1>
    </dataValidation>
    <dataValidation type="decimal" operator="greaterThan" allowBlank="1" showInputMessage="1" showErrorMessage="1" errorTitle="Numeric data" error="Please enter a number greater than zero" sqref="E8:E27 E31:E49" xr:uid="{00000000-0002-0000-0300-000001000000}">
      <formula1>0</formula1>
    </dataValidation>
    <dataValidation type="list" allowBlank="1" showInputMessage="1" showErrorMessage="1" sqref="D14:D27 D8:D12 D31:D49" xr:uid="{00000000-0002-0000-0300-000002000000}">
      <formula1>INDIRECT(CONCATENATE(SUBSTITUTE(B8," ","")&amp;SUBSTITUTE(C8," ","")))</formula1>
    </dataValidation>
    <dataValidation type="list" allowBlank="1" showInputMessage="1" showErrorMessage="1" sqref="C8:C27" xr:uid="{00000000-0002-0000-0300-000003000000}">
      <formula1>INDIRECT(CONCATENATE(SUBSTITUTE(B8," ","")&amp;SUBSTITUTE(C$7," ","")))</formula1>
    </dataValidation>
    <dataValidation type="list" allowBlank="1" showInputMessage="1" showErrorMessage="1" sqref="F8:F27" xr:uid="{00000000-0002-0000-0300-000004000000}">
      <formula1>INDIRECT(CONCATENATE(SUBSTITUTE($B8," ","")&amp;$F$7))</formula1>
    </dataValidation>
    <dataValidation type="list" allowBlank="1" showInputMessage="1" showErrorMessage="1" sqref="B31:B49" xr:uid="{00000000-0002-0000-0300-000005000000}">
      <formula1>INDIRECT(SUBSTITUTE($B$29," ",""))</formula1>
    </dataValidation>
    <dataValidation type="list" allowBlank="1" showInputMessage="1" showErrorMessage="1" sqref="C31:C49" xr:uid="{00000000-0002-0000-0300-000006000000}">
      <formula1>INDIRECT(CONCATENATE(SUBSTITUTE(B31," ","")&amp;SUBSTITUTE(C$30," ","")))</formula1>
    </dataValidation>
    <dataValidation type="list" allowBlank="1" showInputMessage="1" showErrorMessage="1" sqref="F31:F49" xr:uid="{00000000-0002-0000-0300-000007000000}">
      <formula1>INDIRECT(CONCATENATE(SUBSTITUTE($B31," ","")&amp;$F$30))</formula1>
    </dataValidation>
    <dataValidation type="list" allowBlank="1" showInputMessage="1" showErrorMessage="1" sqref="B8:B27" xr:uid="{00000000-0002-0000-0300-000008000000}">
      <formula1>Businesstravel</formula1>
    </dataValidation>
  </dataValidations>
  <pageMargins left="0.7" right="0.7" top="0.75" bottom="0.75" header="0.3" footer="0.3"/>
  <pageSetup paperSize="8" scale="50" fitToHeight="0" orientation="landscape"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27CCF9"/>
    <pageSetUpPr fitToPage="1"/>
  </sheetPr>
  <dimension ref="A1:W51"/>
  <sheetViews>
    <sheetView topLeftCell="A4" workbookViewId="0">
      <selection activeCell="C17" sqref="C17"/>
    </sheetView>
  </sheetViews>
  <sheetFormatPr defaultColWidth="8.54296875" defaultRowHeight="14.5" x14ac:dyDescent="0.35"/>
  <cols>
    <col min="1" max="1" width="3.81640625" style="1" customWidth="1"/>
    <col min="2" max="2" width="33.81640625" style="1" customWidth="1"/>
    <col min="3" max="3" width="30.1796875" style="1" customWidth="1"/>
    <col min="4" max="4" width="18.453125" style="1" customWidth="1"/>
    <col min="5" max="5" width="14.1796875" style="1" customWidth="1"/>
    <col min="6" max="6" width="11.54296875" style="1" customWidth="1"/>
    <col min="7" max="7" width="15.453125" style="1" customWidth="1"/>
    <col min="8" max="8" width="15.54296875" style="1" customWidth="1"/>
    <col min="9" max="9" width="15" style="1" customWidth="1"/>
    <col min="10" max="10" width="22" style="1" customWidth="1"/>
    <col min="11" max="11" width="16" style="1" customWidth="1"/>
    <col min="12" max="12" width="11.81640625" style="1" customWidth="1"/>
    <col min="13" max="13" width="17.54296875" style="1" customWidth="1"/>
    <col min="14" max="14" width="12.81640625" style="1" customWidth="1"/>
    <col min="15" max="15" width="13.1796875" style="1" customWidth="1"/>
    <col min="16" max="20" width="12.81640625" style="1" customWidth="1"/>
    <col min="21" max="21" width="12.81640625" style="26" customWidth="1"/>
    <col min="22" max="22" width="8.54296875" style="219" customWidth="1"/>
    <col min="23" max="23" width="8.54296875" style="54" customWidth="1"/>
    <col min="24" max="24" width="8.54296875" style="1" customWidth="1"/>
    <col min="25" max="16384" width="8.54296875" style="1"/>
  </cols>
  <sheetData>
    <row r="1" spans="1:23" ht="15" thickBot="1" x14ac:dyDescent="0.4">
      <c r="M1" s="129" t="s">
        <v>1030</v>
      </c>
      <c r="N1" s="342" t="s">
        <v>1026</v>
      </c>
      <c r="O1" s="343"/>
      <c r="P1" s="344"/>
      <c r="Q1" s="315" t="s">
        <v>1027</v>
      </c>
      <c r="R1" s="316"/>
      <c r="V1" s="218"/>
    </row>
    <row r="2" spans="1:23" ht="19" thickBot="1" x14ac:dyDescent="0.5">
      <c r="B2" s="345" t="s">
        <v>1021</v>
      </c>
      <c r="C2" s="346"/>
      <c r="D2" s="346"/>
      <c r="E2" s="346"/>
      <c r="F2" s="347"/>
      <c r="G2" s="345"/>
      <c r="H2" s="346"/>
      <c r="I2" s="346"/>
      <c r="J2" s="346"/>
      <c r="K2" s="347"/>
      <c r="L2" s="231"/>
      <c r="M2" s="130"/>
      <c r="N2" s="339" t="s">
        <v>1028</v>
      </c>
      <c r="O2" s="340"/>
      <c r="P2" s="341"/>
      <c r="Q2" s="317" t="s">
        <v>1029</v>
      </c>
      <c r="R2" s="318"/>
    </row>
    <row r="3" spans="1:23" ht="95.25" customHeight="1" thickBot="1" x14ac:dyDescent="0.4">
      <c r="A3" s="26"/>
      <c r="B3" s="309" t="s">
        <v>1054</v>
      </c>
      <c r="C3" s="323"/>
      <c r="D3" s="323"/>
      <c r="E3" s="323"/>
      <c r="F3" s="323"/>
      <c r="G3" s="323"/>
      <c r="H3" s="323"/>
      <c r="I3" s="323"/>
      <c r="J3" s="323"/>
      <c r="K3" s="323"/>
      <c r="L3" s="323"/>
      <c r="M3" s="130"/>
    </row>
    <row r="4" spans="1:23" ht="110.25" customHeight="1" x14ac:dyDescent="0.35">
      <c r="A4" s="26"/>
      <c r="B4" s="338" t="s">
        <v>1055</v>
      </c>
      <c r="C4" s="323"/>
      <c r="D4" s="323"/>
      <c r="E4" s="323"/>
      <c r="F4" s="323"/>
      <c r="G4" s="323"/>
      <c r="H4" s="323"/>
      <c r="I4" s="323"/>
      <c r="J4" s="323"/>
      <c r="K4" s="323"/>
      <c r="L4" s="323"/>
      <c r="M4" s="130"/>
      <c r="N4" s="27"/>
    </row>
    <row r="5" spans="1:23" x14ac:dyDescent="0.35">
      <c r="B5" s="27"/>
      <c r="C5" s="27"/>
      <c r="D5" s="27"/>
      <c r="E5" s="27"/>
      <c r="F5" s="27"/>
      <c r="G5" s="27"/>
      <c r="H5" s="27"/>
      <c r="I5" s="27"/>
      <c r="J5" s="27"/>
      <c r="K5" s="27"/>
      <c r="L5" s="27"/>
    </row>
    <row r="6" spans="1:23" ht="19" thickBot="1" x14ac:dyDescent="0.4">
      <c r="B6" s="31" t="s">
        <v>18</v>
      </c>
      <c r="H6" s="128" t="str">
        <f>IFERROR(IF(SUM(OrganisationalWasteTable[Total EF (kgCO2e/unit)])&gt;0,"No errors in this table","No data entered"), "There is an error in this table, see highlighted row(s)")</f>
        <v>No data entered</v>
      </c>
      <c r="K6" s="40" t="s">
        <v>53</v>
      </c>
      <c r="S6" s="44"/>
      <c r="U6" s="197"/>
    </row>
    <row r="7" spans="1:23" ht="33" customHeight="1" thickBot="1" x14ac:dyDescent="0.4">
      <c r="B7" s="41" t="s">
        <v>101</v>
      </c>
      <c r="C7" s="28" t="s">
        <v>102</v>
      </c>
      <c r="D7" s="28" t="s">
        <v>59</v>
      </c>
      <c r="E7" s="28" t="s">
        <v>60</v>
      </c>
      <c r="F7" s="28" t="s">
        <v>61</v>
      </c>
      <c r="G7" s="28" t="s">
        <v>62</v>
      </c>
      <c r="H7" s="28" t="s">
        <v>63</v>
      </c>
      <c r="I7" s="28" t="s">
        <v>32</v>
      </c>
      <c r="J7" s="28" t="s">
        <v>64</v>
      </c>
      <c r="K7" s="8" t="s">
        <v>7</v>
      </c>
      <c r="L7" s="8" t="s">
        <v>65</v>
      </c>
      <c r="M7" s="8" t="s">
        <v>66</v>
      </c>
      <c r="N7" s="8" t="s">
        <v>67</v>
      </c>
      <c r="O7" s="8" t="s">
        <v>68</v>
      </c>
      <c r="P7" s="219"/>
      <c r="Q7" s="54"/>
      <c r="U7" s="1"/>
      <c r="V7" s="1"/>
      <c r="W7" s="1"/>
    </row>
    <row r="8" spans="1:23" ht="15" thickBot="1" x14ac:dyDescent="0.4">
      <c r="B8" s="126"/>
      <c r="C8" s="126"/>
      <c r="D8" s="120"/>
      <c r="E8" s="123"/>
      <c r="F8" s="32" t="str">
        <f t="array" ref="F8">IF(OR($B8="",$C8="",E8=""),"",IF(E8=G8,D8,(INDEX('Ffactorau Allyriadau'!$K$3:$V$379,MATCH($B8&amp;$C8,'Ffactorau Allyriadau'!$K$3:$K$379&amp;'Ffactorau Allyriadau'!$L$3:$L$379,0),MATCH($F$7,'Ffactorau Allyriadau'!$K$2:$V$2,0)))*D8))</f>
        <v/>
      </c>
      <c r="G8" s="29" t="str">
        <f t="array" ref="G8">IF(OR($B8="",$D8="",OrganisationalWasteTable[[#This Row],[Units]]=""),"",INDEX('Ffactorau Allyriadau'!$K$3:$V$379,MATCH($B8&amp;$C8,'Ffactorau Allyriadau'!$K$3:$K$379&amp;'Ffactorau Allyriadau'!$L$3:$L$379,0),MATCH($G$7,'Ffactorau Allyriadau'!$K$2:$V$2,0)))</f>
        <v/>
      </c>
      <c r="H8" s="228" t="str">
        <f t="array" ref="H8">IF(OR(B8="",C8="",OrganisationalWasteTable[[#This Row],[Data]]=""),"",INDEX('Ffactorau Allyriadau'!$K$3:$V$379,MATCH($B8&amp;$C8,'Ffactorau Allyriadau'!$K$3:$K$379&amp;'Ffactorau Allyriadau'!$L$3:$L$379,0),MATCH($H$7,'Ffactorau Allyriadau'!$K$2:$V$2,0)))</f>
        <v/>
      </c>
      <c r="I8" s="32" t="str">
        <f>IF(OR(OrganisationalWasteTable[[#This Row],[Waste type]]="",OrganisationalWasteTable[[#This Row],[Converted data]]=""),"",SUM(OrganisationalWasteTable[[#This Row],[Direct]:[Indirect WTT]]))</f>
        <v/>
      </c>
      <c r="J8" s="122"/>
      <c r="K8" s="212" t="str">
        <f t="array" ref="K8">IF(OR($B8="",$D8="",$F8=""),"",(INDEX('Ffactorau Allyriadau'!$K$3:$V$379,MATCH($B8&amp;$C8,'Ffactorau Allyriadau'!$K$3:$K$379&amp;'Ffactorau Allyriadau'!$L$3:$L$379,0),MATCH(K$7,'Ffactorau Allyriadau'!$K$2:$V$2,0)))*$F8)</f>
        <v/>
      </c>
      <c r="L8" s="212" t="str">
        <f t="array" ref="L8">IF(OR($B8="",$D8="",$F8=""),"",(INDEX('Ffactorau Allyriadau'!$K$3:$V$379,MATCH($B8&amp;$C8,'Ffactorau Allyriadau'!$K$3:$K$379&amp;'Ffactorau Allyriadau'!$L$3:$L$379,0),MATCH(L$7,'Ffactorau Allyriadau'!$K$2:$V$2,0)))*$F8)</f>
        <v/>
      </c>
      <c r="M8" s="212" t="str">
        <f t="array" ref="M8">IF(OR($B8="",$D8="",$F8=""),"",(INDEX('Ffactorau Allyriadau'!$K$3:$V$379,MATCH($B8&amp;$C8,'Ffactorau Allyriadau'!$K$3:$K$379&amp;'Ffactorau Allyriadau'!$L$3:$L$379,0),MATCH(M$7,'Ffactorau Allyriadau'!$K$2:$V$2,0)))*$F8)</f>
        <v/>
      </c>
      <c r="N8" s="212" t="str">
        <f t="array" ref="N8">IF(OR($B8="",$D8="",$F8=""),"",(INDEX('Ffactorau Allyriadau'!$K$3:$V$379,MATCH($B8&amp;$C8,'Ffactorau Allyriadau'!$K$3:$K$379&amp;'Ffactorau Allyriadau'!$L$3:$L$379,0),MATCH(N$7,'Ffactorau Allyriadau'!$K$2:$V$2,0)))*$F8)</f>
        <v/>
      </c>
      <c r="O8" s="212" t="str">
        <f t="array" ref="O8">IF(OR($B8="",$D8="",$F8=""),"",(INDEX('Ffactorau Allyriadau'!$K$3:$V$379,MATCH($B8&amp;$C8,'Ffactorau Allyriadau'!$K$3:$K$379&amp;'Ffactorau Allyriadau'!$L$3:$L$379,0),MATCH(O$7,'Ffactorau Allyriadau'!$K$2:$V$2,0)))*$F8)</f>
        <v/>
      </c>
      <c r="P8" s="219"/>
      <c r="Q8" s="54"/>
      <c r="U8" s="1"/>
      <c r="V8" s="1"/>
      <c r="W8" s="1"/>
    </row>
    <row r="9" spans="1:23" ht="15" thickBot="1" x14ac:dyDescent="0.4">
      <c r="B9" s="126"/>
      <c r="C9" s="123"/>
      <c r="D9" s="120"/>
      <c r="E9" s="123"/>
      <c r="F9" s="32" t="str">
        <f t="array" ref="F9">IF(OR($B9="",$C9="",E9=""),"",IF(E9=G9,D9,(INDEX('Ffactorau Allyriadau'!$K$3:$V$379,MATCH($B9&amp;$C9,'Ffactorau Allyriadau'!$K$3:$K$379&amp;'Ffactorau Allyriadau'!$L$3:$L$379,0),MATCH($F$7,'Ffactorau Allyriadau'!$K$2:$V$2,0)))*D9))</f>
        <v/>
      </c>
      <c r="G9" s="29" t="str">
        <f t="array" ref="G9">IF(OR($B9="",$D9="",OrganisationalWasteTable[[#This Row],[Units]]=""),"",INDEX('Ffactorau Allyriadau'!$K$3:$V$379,MATCH($B9&amp;$C9,'Ffactorau Allyriadau'!$K$3:$K$379&amp;'Ffactorau Allyriadau'!$L$3:$L$379,0),MATCH($G$7,'Ffactorau Allyriadau'!$K$2:$V$2,0)))</f>
        <v/>
      </c>
      <c r="H9" s="228" t="str">
        <f t="array" ref="H9">IF(OR(B9="",C9="",OrganisationalWasteTable[[#This Row],[Data]]=""),"",INDEX('Ffactorau Allyriadau'!$K$3:$V$379,MATCH($B9&amp;$C9,'Ffactorau Allyriadau'!$K$3:$K$379&amp;'Ffactorau Allyriadau'!$L$3:$L$379,0),MATCH($H$7,'Ffactorau Allyriadau'!$K$2:$V$2,0)))</f>
        <v/>
      </c>
      <c r="I9" s="32" t="str">
        <f>IF(OR(OrganisationalWasteTable[[#This Row],[Waste type]]="",OrganisationalWasteTable[[#This Row],[Converted data]]=""),"",SUM(OrganisationalWasteTable[[#This Row],[Direct]:[Indirect WTT]]))</f>
        <v/>
      </c>
      <c r="J9" s="122"/>
      <c r="K9" s="212" t="str">
        <f t="array" ref="K9">IF(OR($B9="",$D9="",$F9=""),"",(INDEX('Ffactorau Allyriadau'!$K$3:$V$379,MATCH($B9&amp;$C9,'Ffactorau Allyriadau'!$K$3:$K$379&amp;'Ffactorau Allyriadau'!$L$3:$L$379,0),MATCH(K$7,'Ffactorau Allyriadau'!$K$2:$V$2,0)))*$F9)</f>
        <v/>
      </c>
      <c r="L9" s="212" t="str">
        <f t="array" ref="L9">IF(OR($B9="",$D9="",$F9=""),"",(INDEX('Ffactorau Allyriadau'!$K$3:$V$379,MATCH($B9&amp;$C9,'Ffactorau Allyriadau'!$K$3:$K$379&amp;'Ffactorau Allyriadau'!$L$3:$L$379,0),MATCH(L$7,'Ffactorau Allyriadau'!$K$2:$V$2,0)))*$F9)</f>
        <v/>
      </c>
      <c r="M9" s="212" t="str">
        <f t="array" ref="M9">IF(OR($B9="",$D9="",$F9=""),"",(INDEX('Ffactorau Allyriadau'!$K$3:$V$379,MATCH($B9&amp;$C9,'Ffactorau Allyriadau'!$K$3:$K$379&amp;'Ffactorau Allyriadau'!$L$3:$L$379,0),MATCH(M$7,'Ffactorau Allyriadau'!$K$2:$V$2,0)))*$F9)</f>
        <v/>
      </c>
      <c r="N9" s="212" t="str">
        <f t="array" ref="N9">IF(OR($B9="",$D9="",$F9=""),"",(INDEX('Ffactorau Allyriadau'!$K$3:$V$379,MATCH($B9&amp;$C9,'Ffactorau Allyriadau'!$K$3:$K$379&amp;'Ffactorau Allyriadau'!$L$3:$L$379,0),MATCH(N$7,'Ffactorau Allyriadau'!$K$2:$V$2,0)))*$F9)</f>
        <v/>
      </c>
      <c r="O9" s="212" t="str">
        <f t="array" ref="O9">IF(OR($B9="",$D9="",$F9=""),"",(INDEX('Ffactorau Allyriadau'!$K$3:$V$379,MATCH($B9&amp;$C9,'Ffactorau Allyriadau'!$K$3:$K$379&amp;'Ffactorau Allyriadau'!$L$3:$L$379,0),MATCH(O$7,'Ffactorau Allyriadau'!$K$2:$V$2,0)))*$F9)</f>
        <v/>
      </c>
      <c r="P9" s="219"/>
      <c r="Q9" s="54"/>
      <c r="U9" s="1"/>
      <c r="V9" s="1"/>
      <c r="W9" s="1"/>
    </row>
    <row r="10" spans="1:23" ht="15" thickBot="1" x14ac:dyDescent="0.4">
      <c r="B10" s="126"/>
      <c r="C10" s="123"/>
      <c r="D10" s="120"/>
      <c r="E10" s="123"/>
      <c r="F10" s="32" t="str">
        <f t="array" ref="F10">IF(OR($B10="",$C10="",E10=""),"",IF(E10=G10,D10,(INDEX('Ffactorau Allyriadau'!$K$3:$V$379,MATCH($B10&amp;$C10,'Ffactorau Allyriadau'!$K$3:$K$379&amp;'Ffactorau Allyriadau'!$L$3:$L$379,0),MATCH($F$7,'Ffactorau Allyriadau'!$K$2:$V$2,0)))*D10))</f>
        <v/>
      </c>
      <c r="G10" s="29" t="str">
        <f t="array" ref="G10">IF(OR($B10="",$D10="",OrganisationalWasteTable[[#This Row],[Units]]=""),"",INDEX('Ffactorau Allyriadau'!$K$3:$V$379,MATCH($B10&amp;$C10,'Ffactorau Allyriadau'!$K$3:$K$379&amp;'Ffactorau Allyriadau'!$L$3:$L$379,0),MATCH($G$7,'Ffactorau Allyriadau'!$K$2:$V$2,0)))</f>
        <v/>
      </c>
      <c r="H10" s="228" t="str">
        <f t="array" ref="H10">IF(OR(B10="",C10="",OrganisationalWasteTable[[#This Row],[Data]]=""),"",INDEX('Ffactorau Allyriadau'!$K$3:$V$379,MATCH($B10&amp;$C10,'Ffactorau Allyriadau'!$K$3:$K$379&amp;'Ffactorau Allyriadau'!$L$3:$L$379,0),MATCH($H$7,'Ffactorau Allyriadau'!$K$2:$V$2,0)))</f>
        <v/>
      </c>
      <c r="I10" s="32" t="str">
        <f>IF(OR(OrganisationalWasteTable[[#This Row],[Waste type]]="",OrganisationalWasteTable[[#This Row],[Converted data]]=""),"",SUM(OrganisationalWasteTable[[#This Row],[Direct]:[Indirect WTT]]))</f>
        <v/>
      </c>
      <c r="J10" s="122"/>
      <c r="K10" s="212" t="str">
        <f t="array" ref="K10">IF(OR($B10="",$D10="",$F10=""),"",(INDEX('Ffactorau Allyriadau'!$K$3:$V$379,MATCH($B10&amp;$C10,'Ffactorau Allyriadau'!$K$3:$K$379&amp;'Ffactorau Allyriadau'!$L$3:$L$379,0),MATCH(K$7,'Ffactorau Allyriadau'!$K$2:$V$2,0)))*$F10)</f>
        <v/>
      </c>
      <c r="L10" s="212" t="str">
        <f t="array" ref="L10">IF(OR($B10="",$D10="",$F10=""),"",(INDEX('Ffactorau Allyriadau'!$K$3:$V$379,MATCH($B10&amp;$C10,'Ffactorau Allyriadau'!$K$3:$K$379&amp;'Ffactorau Allyriadau'!$L$3:$L$379,0),MATCH(L$7,'Ffactorau Allyriadau'!$K$2:$V$2,0)))*$F10)</f>
        <v/>
      </c>
      <c r="M10" s="212" t="str">
        <f t="array" ref="M10">IF(OR($B10="",$D10="",$F10=""),"",(INDEX('Ffactorau Allyriadau'!$K$3:$V$379,MATCH($B10&amp;$C10,'Ffactorau Allyriadau'!$K$3:$K$379&amp;'Ffactorau Allyriadau'!$L$3:$L$379,0),MATCH(M$7,'Ffactorau Allyriadau'!$K$2:$V$2,0)))*$F10)</f>
        <v/>
      </c>
      <c r="N10" s="212" t="str">
        <f t="array" ref="N10">IF(OR($B10="",$D10="",$F10=""),"",(INDEX('Ffactorau Allyriadau'!$K$3:$V$379,MATCH($B10&amp;$C10,'Ffactorau Allyriadau'!$K$3:$K$379&amp;'Ffactorau Allyriadau'!$L$3:$L$379,0),MATCH(N$7,'Ffactorau Allyriadau'!$K$2:$V$2,0)))*$F10)</f>
        <v/>
      </c>
      <c r="O10" s="212" t="str">
        <f t="array" ref="O10">IF(OR($B10="",$D10="",$F10=""),"",(INDEX('Ffactorau Allyriadau'!$K$3:$V$379,MATCH($B10&amp;$C10,'Ffactorau Allyriadau'!$K$3:$K$379&amp;'Ffactorau Allyriadau'!$L$3:$L$379,0),MATCH(O$7,'Ffactorau Allyriadau'!$K$2:$V$2,0)))*$F10)</f>
        <v/>
      </c>
      <c r="P10" s="219"/>
      <c r="Q10" s="54"/>
      <c r="U10" s="1"/>
      <c r="V10" s="1"/>
      <c r="W10" s="1"/>
    </row>
    <row r="11" spans="1:23" ht="15" thickBot="1" x14ac:dyDescent="0.4">
      <c r="B11" s="126"/>
      <c r="C11" s="123"/>
      <c r="D11" s="120"/>
      <c r="E11" s="123"/>
      <c r="F11" s="32" t="str">
        <f t="array" ref="F11">IF(OR($B11="",$C11="",E11=""),"",IF(E11=G11,D11,(INDEX('Ffactorau Allyriadau'!$K$3:$V$379,MATCH($B11&amp;$C11,'Ffactorau Allyriadau'!$K$3:$K$379&amp;'Ffactorau Allyriadau'!$L$3:$L$379,0),MATCH($F$7,'Ffactorau Allyriadau'!$K$2:$V$2,0)))*D11))</f>
        <v/>
      </c>
      <c r="G11" s="29" t="str">
        <f t="array" ref="G11">IF(OR($B11="",$D11="",OrganisationalWasteTable[[#This Row],[Units]]=""),"",INDEX('Ffactorau Allyriadau'!$K$3:$V$379,MATCH($B11&amp;$C11,'Ffactorau Allyriadau'!$K$3:$K$379&amp;'Ffactorau Allyriadau'!$L$3:$L$379,0),MATCH($G$7,'Ffactorau Allyriadau'!$K$2:$V$2,0)))</f>
        <v/>
      </c>
      <c r="H11" s="228" t="str">
        <f t="array" ref="H11">IF(OR(B11="",C11="",OrganisationalWasteTable[[#This Row],[Data]]=""),"",INDEX('Ffactorau Allyriadau'!$K$3:$V$379,MATCH($B11&amp;$C11,'Ffactorau Allyriadau'!$K$3:$K$379&amp;'Ffactorau Allyriadau'!$L$3:$L$379,0),MATCH($H$7,'Ffactorau Allyriadau'!$K$2:$V$2,0)))</f>
        <v/>
      </c>
      <c r="I11" s="32" t="str">
        <f>IF(OR(OrganisationalWasteTable[[#This Row],[Waste type]]="",OrganisationalWasteTable[[#This Row],[Converted data]]=""),"",SUM(OrganisationalWasteTable[[#This Row],[Direct]:[Indirect WTT]]))</f>
        <v/>
      </c>
      <c r="J11" s="122"/>
      <c r="K11" s="212" t="str">
        <f t="array" ref="K11">IF(OR($B11="",$D11="",$F11=""),"",(INDEX('Ffactorau Allyriadau'!$K$3:$V$379,MATCH($B11&amp;$C11,'Ffactorau Allyriadau'!$K$3:$K$379&amp;'Ffactorau Allyriadau'!$L$3:$L$379,0),MATCH(K$7,'Ffactorau Allyriadau'!$K$2:$V$2,0)))*$F11)</f>
        <v/>
      </c>
      <c r="L11" s="212" t="str">
        <f t="array" ref="L11">IF(OR($B11="",$D11="",$F11=""),"",(INDEX('Ffactorau Allyriadau'!$K$3:$V$379,MATCH($B11&amp;$C11,'Ffactorau Allyriadau'!$K$3:$K$379&amp;'Ffactorau Allyriadau'!$L$3:$L$379,0),MATCH(L$7,'Ffactorau Allyriadau'!$K$2:$V$2,0)))*$F11)</f>
        <v/>
      </c>
      <c r="M11" s="212" t="str">
        <f t="array" ref="M11">IF(OR($B11="",$D11="",$F11=""),"",(INDEX('Ffactorau Allyriadau'!$K$3:$V$379,MATCH($B11&amp;$C11,'Ffactorau Allyriadau'!$K$3:$K$379&amp;'Ffactorau Allyriadau'!$L$3:$L$379,0),MATCH(M$7,'Ffactorau Allyriadau'!$K$2:$V$2,0)))*$F11)</f>
        <v/>
      </c>
      <c r="N11" s="212" t="str">
        <f t="array" ref="N11">IF(OR($B11="",$D11="",$F11=""),"",(INDEX('Ffactorau Allyriadau'!$K$3:$V$379,MATCH($B11&amp;$C11,'Ffactorau Allyriadau'!$K$3:$K$379&amp;'Ffactorau Allyriadau'!$L$3:$L$379,0),MATCH(N$7,'Ffactorau Allyriadau'!$K$2:$V$2,0)))*$F11)</f>
        <v/>
      </c>
      <c r="O11" s="212" t="str">
        <f t="array" ref="O11">IF(OR($B11="",$D11="",$F11=""),"",(INDEX('Ffactorau Allyriadau'!$K$3:$V$379,MATCH($B11&amp;$C11,'Ffactorau Allyriadau'!$K$3:$K$379&amp;'Ffactorau Allyriadau'!$L$3:$L$379,0),MATCH(O$7,'Ffactorau Allyriadau'!$K$2:$V$2,0)))*$F11)</f>
        <v/>
      </c>
      <c r="P11" s="219"/>
      <c r="Q11" s="54"/>
      <c r="U11" s="1"/>
      <c r="V11" s="1"/>
      <c r="W11" s="1"/>
    </row>
    <row r="12" spans="1:23" ht="15" thickBot="1" x14ac:dyDescent="0.4">
      <c r="B12" s="126"/>
      <c r="C12" s="123"/>
      <c r="D12" s="120"/>
      <c r="E12" s="123"/>
      <c r="F12" s="32" t="str">
        <f t="array" ref="F12">IF(OR($B12="",$C12="",E12=""),"",IF(E12=G12,D12,(INDEX('Ffactorau Allyriadau'!$K$3:$V$379,MATCH($B12&amp;$C12,'Ffactorau Allyriadau'!$K$3:$K$379&amp;'Ffactorau Allyriadau'!$L$3:$L$379,0),MATCH($F$7,'Ffactorau Allyriadau'!$K$2:$V$2,0)))*D12))</f>
        <v/>
      </c>
      <c r="G12" s="29" t="str">
        <f t="array" ref="G12">IF(OR($B12="",$D12="",OrganisationalWasteTable[[#This Row],[Units]]=""),"",INDEX('Ffactorau Allyriadau'!$K$3:$V$379,MATCH($B12&amp;$C12,'Ffactorau Allyriadau'!$K$3:$K$379&amp;'Ffactorau Allyriadau'!$L$3:$L$379,0),MATCH($G$7,'Ffactorau Allyriadau'!$K$2:$V$2,0)))</f>
        <v/>
      </c>
      <c r="H12" s="228" t="str">
        <f t="array" ref="H12">IF(OR(B12="",C12="",OrganisationalWasteTable[[#This Row],[Data]]=""),"",INDEX('Ffactorau Allyriadau'!$K$3:$V$379,MATCH($B12&amp;$C12,'Ffactorau Allyriadau'!$K$3:$K$379&amp;'Ffactorau Allyriadau'!$L$3:$L$379,0),MATCH($H$7,'Ffactorau Allyriadau'!$K$2:$V$2,0)))</f>
        <v/>
      </c>
      <c r="I12" s="32" t="str">
        <f>IF(OR(OrganisationalWasteTable[[#This Row],[Waste type]]="",OrganisationalWasteTable[[#This Row],[Converted data]]=""),"",SUM(OrganisationalWasteTable[[#This Row],[Direct]:[Indirect WTT]]))</f>
        <v/>
      </c>
      <c r="J12" s="122"/>
      <c r="K12" s="212" t="str">
        <f t="array" ref="K12">IF(OR($B12="",$D12="",$F12=""),"",(INDEX('Ffactorau Allyriadau'!$K$3:$V$379,MATCH($B12&amp;$C12,'Ffactorau Allyriadau'!$K$3:$K$379&amp;'Ffactorau Allyriadau'!$L$3:$L$379,0),MATCH(K$7,'Ffactorau Allyriadau'!$K$2:$V$2,0)))*$F12)</f>
        <v/>
      </c>
      <c r="L12" s="212" t="str">
        <f t="array" ref="L12">IF(OR($B12="",$D12="",$F12=""),"",(INDEX('Ffactorau Allyriadau'!$K$3:$V$379,MATCH($B12&amp;$C12,'Ffactorau Allyriadau'!$K$3:$K$379&amp;'Ffactorau Allyriadau'!$L$3:$L$379,0),MATCH(L$7,'Ffactorau Allyriadau'!$K$2:$V$2,0)))*$F12)</f>
        <v/>
      </c>
      <c r="M12" s="212" t="str">
        <f t="array" ref="M12">IF(OR($B12="",$D12="",$F12=""),"",(INDEX('Ffactorau Allyriadau'!$K$3:$V$379,MATCH($B12&amp;$C12,'Ffactorau Allyriadau'!$K$3:$K$379&amp;'Ffactorau Allyriadau'!$L$3:$L$379,0),MATCH(M$7,'Ffactorau Allyriadau'!$K$2:$V$2,0)))*$F12)</f>
        <v/>
      </c>
      <c r="N12" s="212" t="str">
        <f t="array" ref="N12">IF(OR($B12="",$D12="",$F12=""),"",(INDEX('Ffactorau Allyriadau'!$K$3:$V$379,MATCH($B12&amp;$C12,'Ffactorau Allyriadau'!$K$3:$K$379&amp;'Ffactorau Allyriadau'!$L$3:$L$379,0),MATCH(N$7,'Ffactorau Allyriadau'!$K$2:$V$2,0)))*$F12)</f>
        <v/>
      </c>
      <c r="O12" s="212" t="str">
        <f t="array" ref="O12">IF(OR($B12="",$D12="",$F12=""),"",(INDEX('Ffactorau Allyriadau'!$K$3:$V$379,MATCH($B12&amp;$C12,'Ffactorau Allyriadau'!$K$3:$K$379&amp;'Ffactorau Allyriadau'!$L$3:$L$379,0),MATCH(O$7,'Ffactorau Allyriadau'!$K$2:$V$2,0)))*$F12)</f>
        <v/>
      </c>
      <c r="P12" s="219"/>
      <c r="Q12" s="54"/>
      <c r="U12" s="1"/>
      <c r="V12" s="1"/>
      <c r="W12" s="1"/>
    </row>
    <row r="13" spans="1:23" ht="15" thickBot="1" x14ac:dyDescent="0.4">
      <c r="B13" s="126"/>
      <c r="C13" s="123"/>
      <c r="D13" s="120"/>
      <c r="E13" s="123"/>
      <c r="F13" s="32" t="str">
        <f t="array" ref="F13">IF(OR($B13="",$C13="",E13=""),"",IF(E13=G13,D13,(INDEX('Ffactorau Allyriadau'!$K$3:$V$379,MATCH($B13&amp;$C13,'Ffactorau Allyriadau'!$K$3:$K$379&amp;'Ffactorau Allyriadau'!$L$3:$L$379,0),MATCH($F$7,'Ffactorau Allyriadau'!$K$2:$V$2,0)))*D13))</f>
        <v/>
      </c>
      <c r="G13" s="29" t="str">
        <f t="array" ref="G13">IF(OR($B13="",$D13="",OrganisationalWasteTable[[#This Row],[Units]]=""),"",INDEX('Ffactorau Allyriadau'!$K$3:$V$379,MATCH($B13&amp;$C13,'Ffactorau Allyriadau'!$K$3:$K$379&amp;'Ffactorau Allyriadau'!$L$3:$L$379,0),MATCH($G$7,'Ffactorau Allyriadau'!$K$2:$V$2,0)))</f>
        <v/>
      </c>
      <c r="H13" s="228" t="str">
        <f t="array" ref="H13">IF(OR(B13="",C13="",OrganisationalWasteTable[[#This Row],[Data]]=""),"",INDEX('Ffactorau Allyriadau'!$K$3:$V$379,MATCH($B13&amp;$C13,'Ffactorau Allyriadau'!$K$3:$K$379&amp;'Ffactorau Allyriadau'!$L$3:$L$379,0),MATCH($H$7,'Ffactorau Allyriadau'!$K$2:$V$2,0)))</f>
        <v/>
      </c>
      <c r="I13" s="32" t="str">
        <f>IF(OR(OrganisationalWasteTable[[#This Row],[Waste type]]="",OrganisationalWasteTable[[#This Row],[Converted data]]=""),"",SUM(OrganisationalWasteTable[[#This Row],[Direct]:[Indirect WTT]]))</f>
        <v/>
      </c>
      <c r="J13" s="122"/>
      <c r="K13" s="212" t="str">
        <f t="array" ref="K13">IF(OR($B13="",$D13="",$F13=""),"",(INDEX('Ffactorau Allyriadau'!$K$3:$V$379,MATCH($B13&amp;$C13,'Ffactorau Allyriadau'!$K$3:$K$379&amp;'Ffactorau Allyriadau'!$L$3:$L$379,0),MATCH(K$7,'Ffactorau Allyriadau'!$K$2:$V$2,0)))*$F13)</f>
        <v/>
      </c>
      <c r="L13" s="212" t="str">
        <f t="array" ref="L13">IF(OR($B13="",$D13="",$F13=""),"",(INDEX('Ffactorau Allyriadau'!$K$3:$V$379,MATCH($B13&amp;$C13,'Ffactorau Allyriadau'!$K$3:$K$379&amp;'Ffactorau Allyriadau'!$L$3:$L$379,0),MATCH(L$7,'Ffactorau Allyriadau'!$K$2:$V$2,0)))*$F13)</f>
        <v/>
      </c>
      <c r="M13" s="212" t="str">
        <f t="array" ref="M13">IF(OR($B13="",$D13="",$F13=""),"",(INDEX('Ffactorau Allyriadau'!$K$3:$V$379,MATCH($B13&amp;$C13,'Ffactorau Allyriadau'!$K$3:$K$379&amp;'Ffactorau Allyriadau'!$L$3:$L$379,0),MATCH(M$7,'Ffactorau Allyriadau'!$K$2:$V$2,0)))*$F13)</f>
        <v/>
      </c>
      <c r="N13" s="212" t="str">
        <f t="array" ref="N13">IF(OR($B13="",$D13="",$F13=""),"",(INDEX('Ffactorau Allyriadau'!$K$3:$V$379,MATCH($B13&amp;$C13,'Ffactorau Allyriadau'!$K$3:$K$379&amp;'Ffactorau Allyriadau'!$L$3:$L$379,0),MATCH(N$7,'Ffactorau Allyriadau'!$K$2:$V$2,0)))*$F13)</f>
        <v/>
      </c>
      <c r="O13" s="212" t="str">
        <f t="array" ref="O13">IF(OR($B13="",$D13="",$F13=""),"",(INDEX('Ffactorau Allyriadau'!$K$3:$V$379,MATCH($B13&amp;$C13,'Ffactorau Allyriadau'!$K$3:$K$379&amp;'Ffactorau Allyriadau'!$L$3:$L$379,0),MATCH(O$7,'Ffactorau Allyriadau'!$K$2:$V$2,0)))*$F13)</f>
        <v/>
      </c>
      <c r="P13" s="219"/>
      <c r="Q13" s="54"/>
      <c r="U13" s="1"/>
      <c r="V13" s="1"/>
      <c r="W13" s="1"/>
    </row>
    <row r="14" spans="1:23" ht="15" thickBot="1" x14ac:dyDescent="0.4">
      <c r="B14" s="126"/>
      <c r="C14" s="123"/>
      <c r="D14" s="120"/>
      <c r="E14" s="123"/>
      <c r="F14" s="32" t="str">
        <f t="array" ref="F14">IF(OR($B14="",$C14="",E14=""),"",IF(E14=G14,D14,(INDEX('Ffactorau Allyriadau'!$K$3:$V$379,MATCH($B14&amp;$C14,'Ffactorau Allyriadau'!$K$3:$K$379&amp;'Ffactorau Allyriadau'!$L$3:$L$379,0),MATCH($F$7,'Ffactorau Allyriadau'!$K$2:$V$2,0)))*D14))</f>
        <v/>
      </c>
      <c r="G14" s="29" t="str">
        <f t="array" ref="G14">IF(OR($B14="",$D14="",OrganisationalWasteTable[[#This Row],[Units]]=""),"",INDEX('Ffactorau Allyriadau'!$K$3:$V$379,MATCH($B14&amp;$C14,'Ffactorau Allyriadau'!$K$3:$K$379&amp;'Ffactorau Allyriadau'!$L$3:$L$379,0),MATCH($G$7,'Ffactorau Allyriadau'!$K$2:$V$2,0)))</f>
        <v/>
      </c>
      <c r="H14" s="228" t="str">
        <f t="array" ref="H14">IF(OR(B14="",C14="",OrganisationalWasteTable[[#This Row],[Data]]=""),"",INDEX('Ffactorau Allyriadau'!$K$3:$V$379,MATCH($B14&amp;$C14,'Ffactorau Allyriadau'!$K$3:$K$379&amp;'Ffactorau Allyriadau'!$L$3:$L$379,0),MATCH($H$7,'Ffactorau Allyriadau'!$K$2:$V$2,0)))</f>
        <v/>
      </c>
      <c r="I14" s="32" t="str">
        <f>IF(OR(OrganisationalWasteTable[[#This Row],[Waste type]]="",OrganisationalWasteTable[[#This Row],[Converted data]]=""),"",SUM(OrganisationalWasteTable[[#This Row],[Direct]:[Indirect WTT]]))</f>
        <v/>
      </c>
      <c r="J14" s="122"/>
      <c r="K14" s="212" t="str">
        <f t="array" ref="K14">IF(OR($B14="",$D14="",$F14=""),"",(INDEX('Ffactorau Allyriadau'!$K$3:$V$379,MATCH($B14&amp;$C14,'Ffactorau Allyriadau'!$K$3:$K$379&amp;'Ffactorau Allyriadau'!$L$3:$L$379,0),MATCH(K$7,'Ffactorau Allyriadau'!$K$2:$V$2,0)))*$F14)</f>
        <v/>
      </c>
      <c r="L14" s="212" t="str">
        <f t="array" ref="L14">IF(OR($B14="",$D14="",$F14=""),"",(INDEX('Ffactorau Allyriadau'!$K$3:$V$379,MATCH($B14&amp;$C14,'Ffactorau Allyriadau'!$K$3:$K$379&amp;'Ffactorau Allyriadau'!$L$3:$L$379,0),MATCH(L$7,'Ffactorau Allyriadau'!$K$2:$V$2,0)))*$F14)</f>
        <v/>
      </c>
      <c r="M14" s="212" t="str">
        <f t="array" ref="M14">IF(OR($B14="",$D14="",$F14=""),"",(INDEX('Ffactorau Allyriadau'!$K$3:$V$379,MATCH($B14&amp;$C14,'Ffactorau Allyriadau'!$K$3:$K$379&amp;'Ffactorau Allyriadau'!$L$3:$L$379,0),MATCH(M$7,'Ffactorau Allyriadau'!$K$2:$V$2,0)))*$F14)</f>
        <v/>
      </c>
      <c r="N14" s="212" t="str">
        <f t="array" ref="N14">IF(OR($B14="",$D14="",$F14=""),"",(INDEX('Ffactorau Allyriadau'!$K$3:$V$379,MATCH($B14&amp;$C14,'Ffactorau Allyriadau'!$K$3:$K$379&amp;'Ffactorau Allyriadau'!$L$3:$L$379,0),MATCH(N$7,'Ffactorau Allyriadau'!$K$2:$V$2,0)))*$F14)</f>
        <v/>
      </c>
      <c r="O14" s="212" t="str">
        <f t="array" ref="O14">IF(OR($B14="",$D14="",$F14=""),"",(INDEX('Ffactorau Allyriadau'!$K$3:$V$379,MATCH($B14&amp;$C14,'Ffactorau Allyriadau'!$K$3:$K$379&amp;'Ffactorau Allyriadau'!$L$3:$L$379,0),MATCH(O$7,'Ffactorau Allyriadau'!$K$2:$V$2,0)))*$F14)</f>
        <v/>
      </c>
      <c r="P14" s="219"/>
      <c r="Q14" s="54"/>
      <c r="U14" s="1"/>
      <c r="V14" s="1"/>
      <c r="W14" s="1"/>
    </row>
    <row r="15" spans="1:23" ht="15" thickBot="1" x14ac:dyDescent="0.4">
      <c r="B15" s="126"/>
      <c r="C15" s="123"/>
      <c r="D15" s="120"/>
      <c r="E15" s="123"/>
      <c r="F15" s="32" t="str">
        <f t="array" ref="F15">IF(OR($B15="",$C15="",E15=""),"",IF(E15=G15,D15,(INDEX('Ffactorau Allyriadau'!$K$3:$V$379,MATCH($B15&amp;$C15,'Ffactorau Allyriadau'!$K$3:$K$379&amp;'Ffactorau Allyriadau'!$L$3:$L$379,0),MATCH($F$7,'Ffactorau Allyriadau'!$K$2:$V$2,0)))*D15))</f>
        <v/>
      </c>
      <c r="G15" s="29" t="str">
        <f t="array" ref="G15">IF(OR($B15="",$D15="",OrganisationalWasteTable[[#This Row],[Units]]=""),"",INDEX('Ffactorau Allyriadau'!$K$3:$V$379,MATCH($B15&amp;$C15,'Ffactorau Allyriadau'!$K$3:$K$379&amp;'Ffactorau Allyriadau'!$L$3:$L$379,0),MATCH($G$7,'Ffactorau Allyriadau'!$K$2:$V$2,0)))</f>
        <v/>
      </c>
      <c r="H15" s="228" t="str">
        <f t="array" ref="H15">IF(OR(B15="",C15="",OrganisationalWasteTable[[#This Row],[Data]]=""),"",INDEX('Ffactorau Allyriadau'!$K$3:$V$379,MATCH($B15&amp;$C15,'Ffactorau Allyriadau'!$K$3:$K$379&amp;'Ffactorau Allyriadau'!$L$3:$L$379,0),MATCH($H$7,'Ffactorau Allyriadau'!$K$2:$V$2,0)))</f>
        <v/>
      </c>
      <c r="I15" s="32" t="str">
        <f>IF(OR(OrganisationalWasteTable[[#This Row],[Waste type]]="",OrganisationalWasteTable[[#This Row],[Converted data]]=""),"",SUM(OrganisationalWasteTable[[#This Row],[Direct]:[Indirect WTT]]))</f>
        <v/>
      </c>
      <c r="J15" s="122"/>
      <c r="K15" s="212" t="str">
        <f t="array" ref="K15">IF(OR($B15="",$D15="",$F15=""),"",(INDEX('Ffactorau Allyriadau'!$K$3:$V$379,MATCH($B15&amp;$C15,'Ffactorau Allyriadau'!$K$3:$K$379&amp;'Ffactorau Allyriadau'!$L$3:$L$379,0),MATCH(K$7,'Ffactorau Allyriadau'!$K$2:$V$2,0)))*$F15)</f>
        <v/>
      </c>
      <c r="L15" s="212" t="str">
        <f t="array" ref="L15">IF(OR($B15="",$D15="",$F15=""),"",(INDEX('Ffactorau Allyriadau'!$K$3:$V$379,MATCH($B15&amp;$C15,'Ffactorau Allyriadau'!$K$3:$K$379&amp;'Ffactorau Allyriadau'!$L$3:$L$379,0),MATCH(L$7,'Ffactorau Allyriadau'!$K$2:$V$2,0)))*$F15)</f>
        <v/>
      </c>
      <c r="M15" s="212" t="str">
        <f t="array" ref="M15">IF(OR($B15="",$D15="",$F15=""),"",(INDEX('Ffactorau Allyriadau'!$K$3:$V$379,MATCH($B15&amp;$C15,'Ffactorau Allyriadau'!$K$3:$K$379&amp;'Ffactorau Allyriadau'!$L$3:$L$379,0),MATCH(M$7,'Ffactorau Allyriadau'!$K$2:$V$2,0)))*$F15)</f>
        <v/>
      </c>
      <c r="N15" s="212" t="str">
        <f t="array" ref="N15">IF(OR($B15="",$D15="",$F15=""),"",(INDEX('Ffactorau Allyriadau'!$K$3:$V$379,MATCH($B15&amp;$C15,'Ffactorau Allyriadau'!$K$3:$K$379&amp;'Ffactorau Allyriadau'!$L$3:$L$379,0),MATCH(N$7,'Ffactorau Allyriadau'!$K$2:$V$2,0)))*$F15)</f>
        <v/>
      </c>
      <c r="O15" s="212" t="str">
        <f t="array" ref="O15">IF(OR($B15="",$D15="",$F15=""),"",(INDEX('Ffactorau Allyriadau'!$K$3:$V$379,MATCH($B15&amp;$C15,'Ffactorau Allyriadau'!$K$3:$K$379&amp;'Ffactorau Allyriadau'!$L$3:$L$379,0),MATCH(O$7,'Ffactorau Allyriadau'!$K$2:$V$2,0)))*$F15)</f>
        <v/>
      </c>
      <c r="P15" s="219"/>
      <c r="Q15" s="54"/>
      <c r="U15" s="1"/>
      <c r="V15" s="1"/>
      <c r="W15" s="1"/>
    </row>
    <row r="16" spans="1:23" ht="15" thickBot="1" x14ac:dyDescent="0.4">
      <c r="B16" s="126"/>
      <c r="C16" s="123"/>
      <c r="D16" s="120"/>
      <c r="E16" s="123"/>
      <c r="F16" s="32" t="str">
        <f t="array" ref="F16">IF(OR($B16="",$C16="",E16=""),"",IF(E16=G16,D16,(INDEX('Ffactorau Allyriadau'!$K$3:$V$379,MATCH($B16&amp;$C16,'Ffactorau Allyriadau'!$K$3:$K$379&amp;'Ffactorau Allyriadau'!$L$3:$L$379,0),MATCH($F$7,'Ffactorau Allyriadau'!$K$2:$V$2,0)))*D16))</f>
        <v/>
      </c>
      <c r="G16" s="29" t="str">
        <f t="array" ref="G16">IF(OR($B16="",$D16="",OrganisationalWasteTable[[#This Row],[Units]]=""),"",INDEX('Ffactorau Allyriadau'!$K$3:$V$379,MATCH($B16&amp;$C16,'Ffactorau Allyriadau'!$K$3:$K$379&amp;'Ffactorau Allyriadau'!$L$3:$L$379,0),MATCH($G$7,'Ffactorau Allyriadau'!$K$2:$V$2,0)))</f>
        <v/>
      </c>
      <c r="H16" s="228" t="str">
        <f t="array" ref="H16">IF(OR(B16="",C16="",OrganisationalWasteTable[[#This Row],[Data]]=""),"",INDEX('Ffactorau Allyriadau'!$K$3:$V$379,MATCH($B16&amp;$C16,'Ffactorau Allyriadau'!$K$3:$K$379&amp;'Ffactorau Allyriadau'!$L$3:$L$379,0),MATCH($H$7,'Ffactorau Allyriadau'!$K$2:$V$2,0)))</f>
        <v/>
      </c>
      <c r="I16" s="32" t="str">
        <f>IF(OR(OrganisationalWasteTable[[#This Row],[Waste type]]="",OrganisationalWasteTable[[#This Row],[Converted data]]=""),"",SUM(OrganisationalWasteTable[[#This Row],[Direct]:[Indirect WTT]]))</f>
        <v/>
      </c>
      <c r="J16" s="122"/>
      <c r="K16" s="212" t="str">
        <f t="array" ref="K16">IF(OR($B16="",$D16="",$F16=""),"",(INDEX('Ffactorau Allyriadau'!$K$3:$V$379,MATCH($B16&amp;$C16,'Ffactorau Allyriadau'!$K$3:$K$379&amp;'Ffactorau Allyriadau'!$L$3:$L$379,0),MATCH(K$7,'Ffactorau Allyriadau'!$K$2:$V$2,0)))*$F16)</f>
        <v/>
      </c>
      <c r="L16" s="212" t="str">
        <f t="array" ref="L16">IF(OR($B16="",$D16="",$F16=""),"",(INDEX('Ffactorau Allyriadau'!$K$3:$V$379,MATCH($B16&amp;$C16,'Ffactorau Allyriadau'!$K$3:$K$379&amp;'Ffactorau Allyriadau'!$L$3:$L$379,0),MATCH(L$7,'Ffactorau Allyriadau'!$K$2:$V$2,0)))*$F16)</f>
        <v/>
      </c>
      <c r="M16" s="212" t="str">
        <f t="array" ref="M16">IF(OR($B16="",$D16="",$F16=""),"",(INDEX('Ffactorau Allyriadau'!$K$3:$V$379,MATCH($B16&amp;$C16,'Ffactorau Allyriadau'!$K$3:$K$379&amp;'Ffactorau Allyriadau'!$L$3:$L$379,0),MATCH(M$7,'Ffactorau Allyriadau'!$K$2:$V$2,0)))*$F16)</f>
        <v/>
      </c>
      <c r="N16" s="212" t="str">
        <f t="array" ref="N16">IF(OR($B16="",$D16="",$F16=""),"",(INDEX('Ffactorau Allyriadau'!$K$3:$V$379,MATCH($B16&amp;$C16,'Ffactorau Allyriadau'!$K$3:$K$379&amp;'Ffactorau Allyriadau'!$L$3:$L$379,0),MATCH(N$7,'Ffactorau Allyriadau'!$K$2:$V$2,0)))*$F16)</f>
        <v/>
      </c>
      <c r="O16" s="212" t="str">
        <f t="array" ref="O16">IF(OR($B16="",$D16="",$F16=""),"",(INDEX('Ffactorau Allyriadau'!$K$3:$V$379,MATCH($B16&amp;$C16,'Ffactorau Allyriadau'!$K$3:$K$379&amp;'Ffactorau Allyriadau'!$L$3:$L$379,0),MATCH(O$7,'Ffactorau Allyriadau'!$K$2:$V$2,0)))*$F16)</f>
        <v/>
      </c>
      <c r="P16" s="219"/>
      <c r="Q16" s="54"/>
      <c r="U16" s="1"/>
      <c r="V16" s="1"/>
      <c r="W16" s="1"/>
    </row>
    <row r="17" spans="2:23" ht="15" thickBot="1" x14ac:dyDescent="0.4">
      <c r="B17" s="126"/>
      <c r="C17" s="123"/>
      <c r="D17" s="120"/>
      <c r="E17" s="123"/>
      <c r="F17" s="32" t="str">
        <f t="array" ref="F17">IF(OR($B17="",$C17="",E17=""),"",IF(E17=G17,D17,(INDEX('Ffactorau Allyriadau'!$K$3:$V$379,MATCH($B17&amp;$C17,'Ffactorau Allyriadau'!$K$3:$K$379&amp;'Ffactorau Allyriadau'!$L$3:$L$379,0),MATCH($F$7,'Ffactorau Allyriadau'!$K$2:$V$2,0)))*D17))</f>
        <v/>
      </c>
      <c r="G17" s="29" t="str">
        <f t="array" ref="G17">IF(OR($B17="",$D17="",OrganisationalWasteTable[[#This Row],[Units]]=""),"",INDEX('Ffactorau Allyriadau'!$K$3:$V$379,MATCH($B17&amp;$C17,'Ffactorau Allyriadau'!$K$3:$K$379&amp;'Ffactorau Allyriadau'!$L$3:$L$379,0),MATCH($G$7,'Ffactorau Allyriadau'!$K$2:$V$2,0)))</f>
        <v/>
      </c>
      <c r="H17" s="228" t="str">
        <f t="array" ref="H17">IF(OR(B17="",C17="",OrganisationalWasteTable[[#This Row],[Data]]=""),"",INDEX('Ffactorau Allyriadau'!$K$3:$V$379,MATCH($B17&amp;$C17,'Ffactorau Allyriadau'!$K$3:$K$379&amp;'Ffactorau Allyriadau'!$L$3:$L$379,0),MATCH($H$7,'Ffactorau Allyriadau'!$K$2:$V$2,0)))</f>
        <v/>
      </c>
      <c r="I17" s="32" t="str">
        <f>IF(OR(OrganisationalWasteTable[[#This Row],[Waste type]]="",OrganisationalWasteTable[[#This Row],[Converted data]]=""),"",SUM(OrganisationalWasteTable[[#This Row],[Direct]:[Indirect WTT]]))</f>
        <v/>
      </c>
      <c r="J17" s="122"/>
      <c r="K17" s="212" t="str">
        <f t="array" ref="K17">IF(OR($B17="",$D17="",$F17=""),"",(INDEX('Ffactorau Allyriadau'!$K$3:$V$379,MATCH($B17&amp;$C17,'Ffactorau Allyriadau'!$K$3:$K$379&amp;'Ffactorau Allyriadau'!$L$3:$L$379,0),MATCH(K$7,'Ffactorau Allyriadau'!$K$2:$V$2,0)))*$F17)</f>
        <v/>
      </c>
      <c r="L17" s="212" t="str">
        <f t="array" ref="L17">IF(OR($B17="",$D17="",$F17=""),"",(INDEX('Ffactorau Allyriadau'!$K$3:$V$379,MATCH($B17&amp;$C17,'Ffactorau Allyriadau'!$K$3:$K$379&amp;'Ffactorau Allyriadau'!$L$3:$L$379,0),MATCH(L$7,'Ffactorau Allyriadau'!$K$2:$V$2,0)))*$F17)</f>
        <v/>
      </c>
      <c r="M17" s="212" t="str">
        <f t="array" ref="M17">IF(OR($B17="",$D17="",$F17=""),"",(INDEX('Ffactorau Allyriadau'!$K$3:$V$379,MATCH($B17&amp;$C17,'Ffactorau Allyriadau'!$K$3:$K$379&amp;'Ffactorau Allyriadau'!$L$3:$L$379,0),MATCH(M$7,'Ffactorau Allyriadau'!$K$2:$V$2,0)))*$F17)</f>
        <v/>
      </c>
      <c r="N17" s="212" t="str">
        <f t="array" ref="N17">IF(OR($B17="",$D17="",$F17=""),"",(INDEX('Ffactorau Allyriadau'!$K$3:$V$379,MATCH($B17&amp;$C17,'Ffactorau Allyriadau'!$K$3:$K$379&amp;'Ffactorau Allyriadau'!$L$3:$L$379,0),MATCH(N$7,'Ffactorau Allyriadau'!$K$2:$V$2,0)))*$F17)</f>
        <v/>
      </c>
      <c r="O17" s="212" t="str">
        <f t="array" ref="O17">IF(OR($B17="",$D17="",$F17=""),"",(INDEX('Ffactorau Allyriadau'!$K$3:$V$379,MATCH($B17&amp;$C17,'Ffactorau Allyriadau'!$K$3:$K$379&amp;'Ffactorau Allyriadau'!$L$3:$L$379,0),MATCH(O$7,'Ffactorau Allyriadau'!$K$2:$V$2,0)))*$F17)</f>
        <v/>
      </c>
      <c r="P17" s="219"/>
      <c r="Q17" s="54"/>
      <c r="U17" s="1"/>
      <c r="V17" s="1"/>
      <c r="W17" s="1"/>
    </row>
    <row r="18" spans="2:23" ht="15" thickBot="1" x14ac:dyDescent="0.4">
      <c r="B18" s="126"/>
      <c r="C18" s="123"/>
      <c r="D18" s="120"/>
      <c r="E18" s="123"/>
      <c r="F18" s="32" t="str">
        <f t="array" ref="F18">IF(OR($B18="",$C18="",E18=""),"",IF(E18=G18,D18,(INDEX('Ffactorau Allyriadau'!$K$3:$V$379,MATCH($B18&amp;$C18,'Ffactorau Allyriadau'!$K$3:$K$379&amp;'Ffactorau Allyriadau'!$L$3:$L$379,0),MATCH($F$7,'Ffactorau Allyriadau'!$K$2:$V$2,0)))*D18))</f>
        <v/>
      </c>
      <c r="G18" s="29" t="str">
        <f t="array" ref="G18">IF(OR($B18="",$D18="",OrganisationalWasteTable[[#This Row],[Units]]=""),"",INDEX('Ffactorau Allyriadau'!$K$3:$V$379,MATCH($B18&amp;$C18,'Ffactorau Allyriadau'!$K$3:$K$379&amp;'Ffactorau Allyriadau'!$L$3:$L$379,0),MATCH($G$7,'Ffactorau Allyriadau'!$K$2:$V$2,0)))</f>
        <v/>
      </c>
      <c r="H18" s="228" t="str">
        <f t="array" ref="H18">IF(OR(B18="",C18="",OrganisationalWasteTable[[#This Row],[Data]]=""),"",INDEX('Ffactorau Allyriadau'!$K$3:$V$379,MATCH($B18&amp;$C18,'Ffactorau Allyriadau'!$K$3:$K$379&amp;'Ffactorau Allyriadau'!$L$3:$L$379,0),MATCH($H$7,'Ffactorau Allyriadau'!$K$2:$V$2,0)))</f>
        <v/>
      </c>
      <c r="I18" s="32" t="str">
        <f>IF(OR(OrganisationalWasteTable[[#This Row],[Waste type]]="",OrganisationalWasteTable[[#This Row],[Converted data]]=""),"",SUM(OrganisationalWasteTable[[#This Row],[Direct]:[Indirect WTT]]))</f>
        <v/>
      </c>
      <c r="J18" s="122"/>
      <c r="K18" s="212" t="str">
        <f t="array" ref="K18">IF(OR($B18="",$D18="",$F18=""),"",(INDEX('Ffactorau Allyriadau'!$K$3:$V$379,MATCH($B18&amp;$C18,'Ffactorau Allyriadau'!$K$3:$K$379&amp;'Ffactorau Allyriadau'!$L$3:$L$379,0),MATCH(K$7,'Ffactorau Allyriadau'!$K$2:$V$2,0)))*$F18)</f>
        <v/>
      </c>
      <c r="L18" s="212" t="str">
        <f t="array" ref="L18">IF(OR($B18="",$D18="",$F18=""),"",(INDEX('Ffactorau Allyriadau'!$K$3:$V$379,MATCH($B18&amp;$C18,'Ffactorau Allyriadau'!$K$3:$K$379&amp;'Ffactorau Allyriadau'!$L$3:$L$379,0),MATCH(L$7,'Ffactorau Allyriadau'!$K$2:$V$2,0)))*$F18)</f>
        <v/>
      </c>
      <c r="M18" s="212" t="str">
        <f t="array" ref="M18">IF(OR($B18="",$D18="",$F18=""),"",(INDEX('Ffactorau Allyriadau'!$K$3:$V$379,MATCH($B18&amp;$C18,'Ffactorau Allyriadau'!$K$3:$K$379&amp;'Ffactorau Allyriadau'!$L$3:$L$379,0),MATCH(M$7,'Ffactorau Allyriadau'!$K$2:$V$2,0)))*$F18)</f>
        <v/>
      </c>
      <c r="N18" s="212" t="str">
        <f t="array" ref="N18">IF(OR($B18="",$D18="",$F18=""),"",(INDEX('Ffactorau Allyriadau'!$K$3:$V$379,MATCH($B18&amp;$C18,'Ffactorau Allyriadau'!$K$3:$K$379&amp;'Ffactorau Allyriadau'!$L$3:$L$379,0),MATCH(N$7,'Ffactorau Allyriadau'!$K$2:$V$2,0)))*$F18)</f>
        <v/>
      </c>
      <c r="O18" s="212" t="str">
        <f t="array" ref="O18">IF(OR($B18="",$D18="",$F18=""),"",(INDEX('Ffactorau Allyriadau'!$K$3:$V$379,MATCH($B18&amp;$C18,'Ffactorau Allyriadau'!$K$3:$K$379&amp;'Ffactorau Allyriadau'!$L$3:$L$379,0),MATCH(O$7,'Ffactorau Allyriadau'!$K$2:$V$2,0)))*$F18)</f>
        <v/>
      </c>
      <c r="P18" s="219"/>
      <c r="Q18" s="54"/>
      <c r="U18" s="1"/>
      <c r="V18" s="1"/>
      <c r="W18" s="1"/>
    </row>
    <row r="19" spans="2:23" ht="15" thickBot="1" x14ac:dyDescent="0.4">
      <c r="B19" s="126"/>
      <c r="C19" s="123"/>
      <c r="D19" s="120"/>
      <c r="E19" s="123"/>
      <c r="F19" s="32" t="str">
        <f t="array" ref="F19">IF(OR($B19="",$C19="",E19=""),"",IF(E19=G19,D19,(INDEX('Ffactorau Allyriadau'!$K$3:$V$379,MATCH($B19&amp;$C19,'Ffactorau Allyriadau'!$K$3:$K$379&amp;'Ffactorau Allyriadau'!$L$3:$L$379,0),MATCH($F$7,'Ffactorau Allyriadau'!$K$2:$V$2,0)))*D19))</f>
        <v/>
      </c>
      <c r="G19" s="29" t="str">
        <f t="array" ref="G19">IF(OR($B19="",$D19="",OrganisationalWasteTable[[#This Row],[Units]]=""),"",INDEX('Ffactorau Allyriadau'!$K$3:$V$379,MATCH($B19&amp;$C19,'Ffactorau Allyriadau'!$K$3:$K$379&amp;'Ffactorau Allyriadau'!$L$3:$L$379,0),MATCH($G$7,'Ffactorau Allyriadau'!$K$2:$V$2,0)))</f>
        <v/>
      </c>
      <c r="H19" s="228" t="str">
        <f t="array" ref="H19">IF(OR(B19="",C19="",OrganisationalWasteTable[[#This Row],[Data]]=""),"",INDEX('Ffactorau Allyriadau'!$K$3:$V$379,MATCH($B19&amp;$C19,'Ffactorau Allyriadau'!$K$3:$K$379&amp;'Ffactorau Allyriadau'!$L$3:$L$379,0),MATCH($H$7,'Ffactorau Allyriadau'!$K$2:$V$2,0)))</f>
        <v/>
      </c>
      <c r="I19" s="32" t="str">
        <f>IF(OR(OrganisationalWasteTable[[#This Row],[Waste type]]="",OrganisationalWasteTable[[#This Row],[Converted data]]=""),"",SUM(OrganisationalWasteTable[[#This Row],[Direct]:[Indirect WTT]]))</f>
        <v/>
      </c>
      <c r="J19" s="122"/>
      <c r="K19" s="212" t="str">
        <f t="array" ref="K19">IF(OR($B19="",$D19="",$F19=""),"",(INDEX('Ffactorau Allyriadau'!$K$3:$V$379,MATCH($B19&amp;$C19,'Ffactorau Allyriadau'!$K$3:$K$379&amp;'Ffactorau Allyriadau'!$L$3:$L$379,0),MATCH(K$7,'Ffactorau Allyriadau'!$K$2:$V$2,0)))*$F19)</f>
        <v/>
      </c>
      <c r="L19" s="212" t="str">
        <f t="array" ref="L19">IF(OR($B19="",$D19="",$F19=""),"",(INDEX('Ffactorau Allyriadau'!$K$3:$V$379,MATCH($B19&amp;$C19,'Ffactorau Allyriadau'!$K$3:$K$379&amp;'Ffactorau Allyriadau'!$L$3:$L$379,0),MATCH(L$7,'Ffactorau Allyriadau'!$K$2:$V$2,0)))*$F19)</f>
        <v/>
      </c>
      <c r="M19" s="212" t="str">
        <f t="array" ref="M19">IF(OR($B19="",$D19="",$F19=""),"",(INDEX('Ffactorau Allyriadau'!$K$3:$V$379,MATCH($B19&amp;$C19,'Ffactorau Allyriadau'!$K$3:$K$379&amp;'Ffactorau Allyriadau'!$L$3:$L$379,0),MATCH(M$7,'Ffactorau Allyriadau'!$K$2:$V$2,0)))*$F19)</f>
        <v/>
      </c>
      <c r="N19" s="212" t="str">
        <f t="array" ref="N19">IF(OR($B19="",$D19="",$F19=""),"",(INDEX('Ffactorau Allyriadau'!$K$3:$V$379,MATCH($B19&amp;$C19,'Ffactorau Allyriadau'!$K$3:$K$379&amp;'Ffactorau Allyriadau'!$L$3:$L$379,0),MATCH(N$7,'Ffactorau Allyriadau'!$K$2:$V$2,0)))*$F19)</f>
        <v/>
      </c>
      <c r="O19" s="212" t="str">
        <f t="array" ref="O19">IF(OR($B19="",$D19="",$F19=""),"",(INDEX('Ffactorau Allyriadau'!$K$3:$V$379,MATCH($B19&amp;$C19,'Ffactorau Allyriadau'!$K$3:$K$379&amp;'Ffactorau Allyriadau'!$L$3:$L$379,0),MATCH(O$7,'Ffactorau Allyriadau'!$K$2:$V$2,0)))*$F19)</f>
        <v/>
      </c>
      <c r="P19" s="219"/>
      <c r="Q19" s="54"/>
      <c r="U19" s="1"/>
      <c r="V19" s="1"/>
      <c r="W19" s="1"/>
    </row>
    <row r="20" spans="2:23" ht="15" thickBot="1" x14ac:dyDescent="0.4">
      <c r="B20" s="126"/>
      <c r="C20" s="123"/>
      <c r="D20" s="120"/>
      <c r="E20" s="123"/>
      <c r="F20" s="32" t="str">
        <f t="array" ref="F20">IF(OR($B20="",$C20="",E20=""),"",IF(E20=G20,D20,(INDEX('Ffactorau Allyriadau'!$K$3:$V$379,MATCH($B20&amp;$C20,'Ffactorau Allyriadau'!$K$3:$K$379&amp;'Ffactorau Allyriadau'!$L$3:$L$379,0),MATCH($F$7,'Ffactorau Allyriadau'!$K$2:$V$2,0)))*D20))</f>
        <v/>
      </c>
      <c r="G20" s="29" t="str">
        <f t="array" ref="G20">IF(OR($B20="",$D20="",OrganisationalWasteTable[[#This Row],[Units]]=""),"",INDEX('Ffactorau Allyriadau'!$K$3:$V$379,MATCH($B20&amp;$C20,'Ffactorau Allyriadau'!$K$3:$K$379&amp;'Ffactorau Allyriadau'!$L$3:$L$379,0),MATCH($G$7,'Ffactorau Allyriadau'!$K$2:$V$2,0)))</f>
        <v/>
      </c>
      <c r="H20" s="228" t="str">
        <f t="array" ref="H20">IF(OR(B20="",C20="",OrganisationalWasteTable[[#This Row],[Data]]=""),"",INDEX('Ffactorau Allyriadau'!$K$3:$V$379,MATCH($B20&amp;$C20,'Ffactorau Allyriadau'!$K$3:$K$379&amp;'Ffactorau Allyriadau'!$L$3:$L$379,0),MATCH($H$7,'Ffactorau Allyriadau'!$K$2:$V$2,0)))</f>
        <v/>
      </c>
      <c r="I20" s="32" t="str">
        <f>IF(OR(OrganisationalWasteTable[[#This Row],[Waste type]]="",OrganisationalWasteTable[[#This Row],[Converted data]]=""),"",SUM(OrganisationalWasteTable[[#This Row],[Direct]:[Indirect WTT]]))</f>
        <v/>
      </c>
      <c r="J20" s="122"/>
      <c r="K20" s="212" t="str">
        <f t="array" ref="K20">IF(OR($B20="",$D20="",$F20=""),"",(INDEX('Ffactorau Allyriadau'!$K$3:$V$379,MATCH($B20&amp;$C20,'Ffactorau Allyriadau'!$K$3:$K$379&amp;'Ffactorau Allyriadau'!$L$3:$L$379,0),MATCH(K$7,'Ffactorau Allyriadau'!$K$2:$V$2,0)))*$F20)</f>
        <v/>
      </c>
      <c r="L20" s="212" t="str">
        <f t="array" ref="L20">IF(OR($B20="",$D20="",$F20=""),"",(INDEX('Ffactorau Allyriadau'!$K$3:$V$379,MATCH($B20&amp;$C20,'Ffactorau Allyriadau'!$K$3:$K$379&amp;'Ffactorau Allyriadau'!$L$3:$L$379,0),MATCH(L$7,'Ffactorau Allyriadau'!$K$2:$V$2,0)))*$F20)</f>
        <v/>
      </c>
      <c r="M20" s="212" t="str">
        <f t="array" ref="M20">IF(OR($B20="",$D20="",$F20=""),"",(INDEX('Ffactorau Allyriadau'!$K$3:$V$379,MATCH($B20&amp;$C20,'Ffactorau Allyriadau'!$K$3:$K$379&amp;'Ffactorau Allyriadau'!$L$3:$L$379,0),MATCH(M$7,'Ffactorau Allyriadau'!$K$2:$V$2,0)))*$F20)</f>
        <v/>
      </c>
      <c r="N20" s="212" t="str">
        <f t="array" ref="N20">IF(OR($B20="",$D20="",$F20=""),"",(INDEX('Ffactorau Allyriadau'!$K$3:$V$379,MATCH($B20&amp;$C20,'Ffactorau Allyriadau'!$K$3:$K$379&amp;'Ffactorau Allyriadau'!$L$3:$L$379,0),MATCH(N$7,'Ffactorau Allyriadau'!$K$2:$V$2,0)))*$F20)</f>
        <v/>
      </c>
      <c r="O20" s="212" t="str">
        <f t="array" ref="O20">IF(OR($B20="",$D20="",$F20=""),"",(INDEX('Ffactorau Allyriadau'!$K$3:$V$379,MATCH($B20&amp;$C20,'Ffactorau Allyriadau'!$K$3:$K$379&amp;'Ffactorau Allyriadau'!$L$3:$L$379,0),MATCH(O$7,'Ffactorau Allyriadau'!$K$2:$V$2,0)))*$F20)</f>
        <v/>
      </c>
      <c r="P20" s="219"/>
      <c r="Q20" s="54"/>
      <c r="U20" s="1"/>
      <c r="V20" s="1"/>
      <c r="W20" s="1"/>
    </row>
    <row r="21" spans="2:23" ht="15" thickBot="1" x14ac:dyDescent="0.4">
      <c r="B21" s="126"/>
      <c r="C21" s="123"/>
      <c r="D21" s="120"/>
      <c r="E21" s="123"/>
      <c r="F21" s="32" t="str">
        <f t="array" ref="F21">IF(OR($B21="",$C21="",E21=""),"",IF(E21=G21,D21,(INDEX('Ffactorau Allyriadau'!$K$3:$V$379,MATCH($B21&amp;$C21,'Ffactorau Allyriadau'!$K$3:$K$379&amp;'Ffactorau Allyriadau'!$L$3:$L$379,0),MATCH($F$7,'Ffactorau Allyriadau'!$K$2:$V$2,0)))*D21))</f>
        <v/>
      </c>
      <c r="G21" s="29" t="str">
        <f t="array" ref="G21">IF(OR($B21="",$D21="",OrganisationalWasteTable[[#This Row],[Units]]=""),"",INDEX('Ffactorau Allyriadau'!$K$3:$V$379,MATCH($B21&amp;$C21,'Ffactorau Allyriadau'!$K$3:$K$379&amp;'Ffactorau Allyriadau'!$L$3:$L$379,0),MATCH($G$7,'Ffactorau Allyriadau'!$K$2:$V$2,0)))</f>
        <v/>
      </c>
      <c r="H21" s="228" t="str">
        <f t="array" ref="H21">IF(OR(B21="",C21="",OrganisationalWasteTable[[#This Row],[Data]]=""),"",INDEX('Ffactorau Allyriadau'!$K$3:$V$379,MATCH($B21&amp;$C21,'Ffactorau Allyriadau'!$K$3:$K$379&amp;'Ffactorau Allyriadau'!$L$3:$L$379,0),MATCH($H$7,'Ffactorau Allyriadau'!$K$2:$V$2,0)))</f>
        <v/>
      </c>
      <c r="I21" s="32" t="str">
        <f>IF(OR(OrganisationalWasteTable[[#This Row],[Waste type]]="",OrganisationalWasteTable[[#This Row],[Converted data]]=""),"",SUM(OrganisationalWasteTable[[#This Row],[Direct]:[Indirect WTT]]))</f>
        <v/>
      </c>
      <c r="J21" s="122"/>
      <c r="K21" s="212" t="str">
        <f t="array" ref="K21">IF(OR($B21="",$D21="",$F21=""),"",(INDEX('Ffactorau Allyriadau'!$K$3:$V$379,MATCH($B21&amp;$C21,'Ffactorau Allyriadau'!$K$3:$K$379&amp;'Ffactorau Allyriadau'!$L$3:$L$379,0),MATCH(K$7,'Ffactorau Allyriadau'!$K$2:$V$2,0)))*$F21)</f>
        <v/>
      </c>
      <c r="L21" s="212" t="str">
        <f t="array" ref="L21">IF(OR($B21="",$D21="",$F21=""),"",(INDEX('Ffactorau Allyriadau'!$K$3:$V$379,MATCH($B21&amp;$C21,'Ffactorau Allyriadau'!$K$3:$K$379&amp;'Ffactorau Allyriadau'!$L$3:$L$379,0),MATCH(L$7,'Ffactorau Allyriadau'!$K$2:$V$2,0)))*$F21)</f>
        <v/>
      </c>
      <c r="M21" s="212" t="str">
        <f t="array" ref="M21">IF(OR($B21="",$D21="",$F21=""),"",(INDEX('Ffactorau Allyriadau'!$K$3:$V$379,MATCH($B21&amp;$C21,'Ffactorau Allyriadau'!$K$3:$K$379&amp;'Ffactorau Allyriadau'!$L$3:$L$379,0),MATCH(M$7,'Ffactorau Allyriadau'!$K$2:$V$2,0)))*$F21)</f>
        <v/>
      </c>
      <c r="N21" s="212" t="str">
        <f t="array" ref="N21">IF(OR($B21="",$D21="",$F21=""),"",(INDEX('Ffactorau Allyriadau'!$K$3:$V$379,MATCH($B21&amp;$C21,'Ffactorau Allyriadau'!$K$3:$K$379&amp;'Ffactorau Allyriadau'!$L$3:$L$379,0),MATCH(N$7,'Ffactorau Allyriadau'!$K$2:$V$2,0)))*$F21)</f>
        <v/>
      </c>
      <c r="O21" s="212" t="str">
        <f t="array" ref="O21">IF(OR($B21="",$D21="",$F21=""),"",(INDEX('Ffactorau Allyriadau'!$K$3:$V$379,MATCH($B21&amp;$C21,'Ffactorau Allyriadau'!$K$3:$K$379&amp;'Ffactorau Allyriadau'!$L$3:$L$379,0),MATCH(O$7,'Ffactorau Allyriadau'!$K$2:$V$2,0)))*$F21)</f>
        <v/>
      </c>
      <c r="P21" s="219"/>
      <c r="Q21" s="54"/>
      <c r="U21" s="1"/>
      <c r="V21" s="1"/>
      <c r="W21" s="1"/>
    </row>
    <row r="22" spans="2:23" ht="15" thickBot="1" x14ac:dyDescent="0.4">
      <c r="B22" s="126"/>
      <c r="C22" s="123"/>
      <c r="D22" s="120"/>
      <c r="E22" s="123"/>
      <c r="F22" s="32" t="str">
        <f t="array" ref="F22">IF(OR($B22="",$C22="",E22=""),"",IF(E22=G22,D22,(INDEX('Ffactorau Allyriadau'!$K$3:$V$379,MATCH($B22&amp;$C22,'Ffactorau Allyriadau'!$K$3:$K$379&amp;'Ffactorau Allyriadau'!$L$3:$L$379,0),MATCH($F$7,'Ffactorau Allyriadau'!$K$2:$V$2,0)))*D22))</f>
        <v/>
      </c>
      <c r="G22" s="29" t="str">
        <f t="array" ref="G22">IF(OR($B22="",$D22="",OrganisationalWasteTable[[#This Row],[Units]]=""),"",INDEX('Ffactorau Allyriadau'!$K$3:$V$379,MATCH($B22&amp;$C22,'Ffactorau Allyriadau'!$K$3:$K$379&amp;'Ffactorau Allyriadau'!$L$3:$L$379,0),MATCH($G$7,'Ffactorau Allyriadau'!$K$2:$V$2,0)))</f>
        <v/>
      </c>
      <c r="H22" s="228" t="str">
        <f t="array" ref="H22">IF(OR(B22="",C22="",OrganisationalWasteTable[[#This Row],[Data]]=""),"",INDEX('Ffactorau Allyriadau'!$K$3:$V$379,MATCH($B22&amp;$C22,'Ffactorau Allyriadau'!$K$3:$K$379&amp;'Ffactorau Allyriadau'!$L$3:$L$379,0),MATCH($H$7,'Ffactorau Allyriadau'!$K$2:$V$2,0)))</f>
        <v/>
      </c>
      <c r="I22" s="32" t="str">
        <f>IF(OR(OrganisationalWasteTable[[#This Row],[Waste type]]="",OrganisationalWasteTable[[#This Row],[Converted data]]=""),"",SUM(OrganisationalWasteTable[[#This Row],[Direct]:[Indirect WTT]]))</f>
        <v/>
      </c>
      <c r="J22" s="122"/>
      <c r="K22" s="212" t="str">
        <f t="array" ref="K22">IF(OR($B22="",$D22="",$F22=""),"",(INDEX('Ffactorau Allyriadau'!$K$3:$V$379,MATCH($B22&amp;$C22,'Ffactorau Allyriadau'!$K$3:$K$379&amp;'Ffactorau Allyriadau'!$L$3:$L$379,0),MATCH(K$7,'Ffactorau Allyriadau'!$K$2:$V$2,0)))*$F22)</f>
        <v/>
      </c>
      <c r="L22" s="212" t="str">
        <f t="array" ref="L22">IF(OR($B22="",$D22="",$F22=""),"",(INDEX('Ffactorau Allyriadau'!$K$3:$V$379,MATCH($B22&amp;$C22,'Ffactorau Allyriadau'!$K$3:$K$379&amp;'Ffactorau Allyriadau'!$L$3:$L$379,0),MATCH(L$7,'Ffactorau Allyriadau'!$K$2:$V$2,0)))*$F22)</f>
        <v/>
      </c>
      <c r="M22" s="212" t="str">
        <f t="array" ref="M22">IF(OR($B22="",$D22="",$F22=""),"",(INDEX('Ffactorau Allyriadau'!$K$3:$V$379,MATCH($B22&amp;$C22,'Ffactorau Allyriadau'!$K$3:$K$379&amp;'Ffactorau Allyriadau'!$L$3:$L$379,0),MATCH(M$7,'Ffactorau Allyriadau'!$K$2:$V$2,0)))*$F22)</f>
        <v/>
      </c>
      <c r="N22" s="212" t="str">
        <f t="array" ref="N22">IF(OR($B22="",$D22="",$F22=""),"",(INDEX('Ffactorau Allyriadau'!$K$3:$V$379,MATCH($B22&amp;$C22,'Ffactorau Allyriadau'!$K$3:$K$379&amp;'Ffactorau Allyriadau'!$L$3:$L$379,0),MATCH(N$7,'Ffactorau Allyriadau'!$K$2:$V$2,0)))*$F22)</f>
        <v/>
      </c>
      <c r="O22" s="212" t="str">
        <f t="array" ref="O22">IF(OR($B22="",$D22="",$F22=""),"",(INDEX('Ffactorau Allyriadau'!$K$3:$V$379,MATCH($B22&amp;$C22,'Ffactorau Allyriadau'!$K$3:$K$379&amp;'Ffactorau Allyriadau'!$L$3:$L$379,0),MATCH(O$7,'Ffactorau Allyriadau'!$K$2:$V$2,0)))*$F22)</f>
        <v/>
      </c>
      <c r="P22" s="219"/>
      <c r="Q22" s="54"/>
      <c r="U22" s="1"/>
      <c r="V22" s="1"/>
      <c r="W22" s="1"/>
    </row>
    <row r="23" spans="2:23" ht="15" thickBot="1" x14ac:dyDescent="0.4">
      <c r="B23" s="126"/>
      <c r="C23" s="123"/>
      <c r="D23" s="120"/>
      <c r="E23" s="123"/>
      <c r="F23" s="32" t="str">
        <f t="array" ref="F23">IF(OR($B23="",$C23="",E23=""),"",IF(E23=G23,D23,(INDEX('Ffactorau Allyriadau'!$K$3:$V$379,MATCH($B23&amp;$C23,'Ffactorau Allyriadau'!$K$3:$K$379&amp;'Ffactorau Allyriadau'!$L$3:$L$379,0),MATCH($F$7,'Ffactorau Allyriadau'!$K$2:$V$2,0)))*D23))</f>
        <v/>
      </c>
      <c r="G23" s="29" t="str">
        <f t="array" ref="G23">IF(OR($B23="",$D23="",OrganisationalWasteTable[[#This Row],[Units]]=""),"",INDEX('Ffactorau Allyriadau'!$K$3:$V$379,MATCH($B23&amp;$C23,'Ffactorau Allyriadau'!$K$3:$K$379&amp;'Ffactorau Allyriadau'!$L$3:$L$379,0),MATCH($G$7,'Ffactorau Allyriadau'!$K$2:$V$2,0)))</f>
        <v/>
      </c>
      <c r="H23" s="228" t="str">
        <f t="array" ref="H23">IF(OR(B23="",C23="",OrganisationalWasteTable[[#This Row],[Data]]=""),"",INDEX('Ffactorau Allyriadau'!$K$3:$V$379,MATCH($B23&amp;$C23,'Ffactorau Allyriadau'!$K$3:$K$379&amp;'Ffactorau Allyriadau'!$L$3:$L$379,0),MATCH($H$7,'Ffactorau Allyriadau'!$K$2:$V$2,0)))</f>
        <v/>
      </c>
      <c r="I23" s="32" t="str">
        <f>IF(OR(OrganisationalWasteTable[[#This Row],[Waste type]]="",OrganisationalWasteTable[[#This Row],[Converted data]]=""),"",SUM(OrganisationalWasteTable[[#This Row],[Direct]:[Indirect WTT]]))</f>
        <v/>
      </c>
      <c r="J23" s="122"/>
      <c r="K23" s="212" t="str">
        <f t="array" ref="K23">IF(OR($B23="",$D23="",$F23=""),"",(INDEX('Ffactorau Allyriadau'!$K$3:$V$379,MATCH($B23&amp;$C23,'Ffactorau Allyriadau'!$K$3:$K$379&amp;'Ffactorau Allyriadau'!$L$3:$L$379,0),MATCH(K$7,'Ffactorau Allyriadau'!$K$2:$V$2,0)))*$F23)</f>
        <v/>
      </c>
      <c r="L23" s="212" t="str">
        <f t="array" ref="L23">IF(OR($B23="",$D23="",$F23=""),"",(INDEX('Ffactorau Allyriadau'!$K$3:$V$379,MATCH($B23&amp;$C23,'Ffactorau Allyriadau'!$K$3:$K$379&amp;'Ffactorau Allyriadau'!$L$3:$L$379,0),MATCH(L$7,'Ffactorau Allyriadau'!$K$2:$V$2,0)))*$F23)</f>
        <v/>
      </c>
      <c r="M23" s="212" t="str">
        <f t="array" ref="M23">IF(OR($B23="",$D23="",$F23=""),"",(INDEX('Ffactorau Allyriadau'!$K$3:$V$379,MATCH($B23&amp;$C23,'Ffactorau Allyriadau'!$K$3:$K$379&amp;'Ffactorau Allyriadau'!$L$3:$L$379,0),MATCH(M$7,'Ffactorau Allyriadau'!$K$2:$V$2,0)))*$F23)</f>
        <v/>
      </c>
      <c r="N23" s="212" t="str">
        <f t="array" ref="N23">IF(OR($B23="",$D23="",$F23=""),"",(INDEX('Ffactorau Allyriadau'!$K$3:$V$379,MATCH($B23&amp;$C23,'Ffactorau Allyriadau'!$K$3:$K$379&amp;'Ffactorau Allyriadau'!$L$3:$L$379,0),MATCH(N$7,'Ffactorau Allyriadau'!$K$2:$V$2,0)))*$F23)</f>
        <v/>
      </c>
      <c r="O23" s="212" t="str">
        <f t="array" ref="O23">IF(OR($B23="",$D23="",$F23=""),"",(INDEX('Ffactorau Allyriadau'!$K$3:$V$379,MATCH($B23&amp;$C23,'Ffactorau Allyriadau'!$K$3:$K$379&amp;'Ffactorau Allyriadau'!$L$3:$L$379,0),MATCH(O$7,'Ffactorau Allyriadau'!$K$2:$V$2,0)))*$F23)</f>
        <v/>
      </c>
      <c r="P23" s="219"/>
      <c r="Q23" s="54"/>
      <c r="U23" s="1"/>
      <c r="V23" s="1"/>
      <c r="W23" s="1"/>
    </row>
    <row r="24" spans="2:23" ht="15" thickBot="1" x14ac:dyDescent="0.4">
      <c r="B24" s="126"/>
      <c r="C24" s="123"/>
      <c r="D24" s="120"/>
      <c r="E24" s="123"/>
      <c r="F24" s="32" t="str">
        <f t="array" ref="F24">IF(OR($B24="",$C24="",E24=""),"",IF(E24=G24,D24,(INDEX('Ffactorau Allyriadau'!$K$3:$V$379,MATCH($B24&amp;$C24,'Ffactorau Allyriadau'!$K$3:$K$379&amp;'Ffactorau Allyriadau'!$L$3:$L$379,0),MATCH($F$7,'Ffactorau Allyriadau'!$K$2:$V$2,0)))*D24))</f>
        <v/>
      </c>
      <c r="G24" s="29" t="str">
        <f t="array" ref="G24">IF(OR($B24="",$D24="",OrganisationalWasteTable[[#This Row],[Units]]=""),"",INDEX('Ffactorau Allyriadau'!$K$3:$V$379,MATCH($B24&amp;$C24,'Ffactorau Allyriadau'!$K$3:$K$379&amp;'Ffactorau Allyriadau'!$L$3:$L$379,0),MATCH($G$7,'Ffactorau Allyriadau'!$K$2:$V$2,0)))</f>
        <v/>
      </c>
      <c r="H24" s="228" t="str">
        <f t="array" ref="H24">IF(OR(B24="",C24="",OrganisationalWasteTable[[#This Row],[Data]]=""),"",INDEX('Ffactorau Allyriadau'!$K$3:$V$379,MATCH($B24&amp;$C24,'Ffactorau Allyriadau'!$K$3:$K$379&amp;'Ffactorau Allyriadau'!$L$3:$L$379,0),MATCH($H$7,'Ffactorau Allyriadau'!$K$2:$V$2,0)))</f>
        <v/>
      </c>
      <c r="I24" s="32" t="str">
        <f>IF(OR(OrganisationalWasteTable[[#This Row],[Waste type]]="",OrganisationalWasteTable[[#This Row],[Converted data]]=""),"",SUM(OrganisationalWasteTable[[#This Row],[Direct]:[Indirect WTT]]))</f>
        <v/>
      </c>
      <c r="J24" s="122"/>
      <c r="K24" s="212" t="str">
        <f t="array" ref="K24">IF(OR($B24="",$D24="",$F24=""),"",(INDEX('Ffactorau Allyriadau'!$K$3:$V$379,MATCH($B24&amp;$C24,'Ffactorau Allyriadau'!$K$3:$K$379&amp;'Ffactorau Allyriadau'!$L$3:$L$379,0),MATCH(K$7,'Ffactorau Allyriadau'!$K$2:$V$2,0)))*$F24)</f>
        <v/>
      </c>
      <c r="L24" s="212" t="str">
        <f t="array" ref="L24">IF(OR($B24="",$D24="",$F24=""),"",(INDEX('Ffactorau Allyriadau'!$K$3:$V$379,MATCH($B24&amp;$C24,'Ffactorau Allyriadau'!$K$3:$K$379&amp;'Ffactorau Allyriadau'!$L$3:$L$379,0),MATCH(L$7,'Ffactorau Allyriadau'!$K$2:$V$2,0)))*$F24)</f>
        <v/>
      </c>
      <c r="M24" s="212" t="str">
        <f t="array" ref="M24">IF(OR($B24="",$D24="",$F24=""),"",(INDEX('Ffactorau Allyriadau'!$K$3:$V$379,MATCH($B24&amp;$C24,'Ffactorau Allyriadau'!$K$3:$K$379&amp;'Ffactorau Allyriadau'!$L$3:$L$379,0),MATCH(M$7,'Ffactorau Allyriadau'!$K$2:$V$2,0)))*$F24)</f>
        <v/>
      </c>
      <c r="N24" s="212" t="str">
        <f t="array" ref="N24">IF(OR($B24="",$D24="",$F24=""),"",(INDEX('Ffactorau Allyriadau'!$K$3:$V$379,MATCH($B24&amp;$C24,'Ffactorau Allyriadau'!$K$3:$K$379&amp;'Ffactorau Allyriadau'!$L$3:$L$379,0),MATCH(N$7,'Ffactorau Allyriadau'!$K$2:$V$2,0)))*$F24)</f>
        <v/>
      </c>
      <c r="O24" s="212" t="str">
        <f t="array" ref="O24">IF(OR($B24="",$D24="",$F24=""),"",(INDEX('Ffactorau Allyriadau'!$K$3:$V$379,MATCH($B24&amp;$C24,'Ffactorau Allyriadau'!$K$3:$K$379&amp;'Ffactorau Allyriadau'!$L$3:$L$379,0),MATCH(O$7,'Ffactorau Allyriadau'!$K$2:$V$2,0)))*$F24)</f>
        <v/>
      </c>
      <c r="P24" s="219"/>
      <c r="Q24" s="54"/>
      <c r="U24" s="1"/>
      <c r="V24" s="1"/>
      <c r="W24" s="1"/>
    </row>
    <row r="25" spans="2:23" ht="15" thickBot="1" x14ac:dyDescent="0.4">
      <c r="B25" s="126"/>
      <c r="C25" s="123"/>
      <c r="D25" s="120"/>
      <c r="E25" s="123"/>
      <c r="F25" s="32" t="str">
        <f t="array" ref="F25">IF(OR($B25="",$C25="",E25=""),"",IF(E25=G25,D25,(INDEX('Ffactorau Allyriadau'!$K$3:$V$379,MATCH($B25&amp;$C25,'Ffactorau Allyriadau'!$K$3:$K$379&amp;'Ffactorau Allyriadau'!$L$3:$L$379,0),MATCH($F$7,'Ffactorau Allyriadau'!$K$2:$V$2,0)))*D25))</f>
        <v/>
      </c>
      <c r="G25" s="29" t="str">
        <f t="array" ref="G25">IF(OR($B25="",$D25="",OrganisationalWasteTable[[#This Row],[Units]]=""),"",INDEX('Ffactorau Allyriadau'!$K$3:$V$379,MATCH($B25&amp;$C25,'Ffactorau Allyriadau'!$K$3:$K$379&amp;'Ffactorau Allyriadau'!$L$3:$L$379,0),MATCH($G$7,'Ffactorau Allyriadau'!$K$2:$V$2,0)))</f>
        <v/>
      </c>
      <c r="H25" s="228" t="str">
        <f t="array" ref="H25">IF(OR(B25="",C25="",OrganisationalWasteTable[[#This Row],[Data]]=""),"",INDEX('Ffactorau Allyriadau'!$K$3:$V$379,MATCH($B25&amp;$C25,'Ffactorau Allyriadau'!$K$3:$K$379&amp;'Ffactorau Allyriadau'!$L$3:$L$379,0),MATCH($H$7,'Ffactorau Allyriadau'!$K$2:$V$2,0)))</f>
        <v/>
      </c>
      <c r="I25" s="32" t="str">
        <f>IF(OR(OrganisationalWasteTable[[#This Row],[Waste type]]="",OrganisationalWasteTable[[#This Row],[Converted data]]=""),"",SUM(OrganisationalWasteTable[[#This Row],[Direct]:[Indirect WTT]]))</f>
        <v/>
      </c>
      <c r="J25" s="122"/>
      <c r="K25" s="212" t="str">
        <f t="array" ref="K25">IF(OR($B25="",$D25="",$F25=""),"",(INDEX('Ffactorau Allyriadau'!$K$3:$V$379,MATCH($B25&amp;$C25,'Ffactorau Allyriadau'!$K$3:$K$379&amp;'Ffactorau Allyriadau'!$L$3:$L$379,0),MATCH(K$7,'Ffactorau Allyriadau'!$K$2:$V$2,0)))*$F25)</f>
        <v/>
      </c>
      <c r="L25" s="212" t="str">
        <f t="array" ref="L25">IF(OR($B25="",$D25="",$F25=""),"",(INDEX('Ffactorau Allyriadau'!$K$3:$V$379,MATCH($B25&amp;$C25,'Ffactorau Allyriadau'!$K$3:$K$379&amp;'Ffactorau Allyriadau'!$L$3:$L$379,0),MATCH(L$7,'Ffactorau Allyriadau'!$K$2:$V$2,0)))*$F25)</f>
        <v/>
      </c>
      <c r="M25" s="212" t="str">
        <f t="array" ref="M25">IF(OR($B25="",$D25="",$F25=""),"",(INDEX('Ffactorau Allyriadau'!$K$3:$V$379,MATCH($B25&amp;$C25,'Ffactorau Allyriadau'!$K$3:$K$379&amp;'Ffactorau Allyriadau'!$L$3:$L$379,0),MATCH(M$7,'Ffactorau Allyriadau'!$K$2:$V$2,0)))*$F25)</f>
        <v/>
      </c>
      <c r="N25" s="212" t="str">
        <f t="array" ref="N25">IF(OR($B25="",$D25="",$F25=""),"",(INDEX('Ffactorau Allyriadau'!$K$3:$V$379,MATCH($B25&amp;$C25,'Ffactorau Allyriadau'!$K$3:$K$379&amp;'Ffactorau Allyriadau'!$L$3:$L$379,0),MATCH(N$7,'Ffactorau Allyriadau'!$K$2:$V$2,0)))*$F25)</f>
        <v/>
      </c>
      <c r="O25" s="212" t="str">
        <f t="array" ref="O25">IF(OR($B25="",$D25="",$F25=""),"",(INDEX('Ffactorau Allyriadau'!$K$3:$V$379,MATCH($B25&amp;$C25,'Ffactorau Allyriadau'!$K$3:$K$379&amp;'Ffactorau Allyriadau'!$L$3:$L$379,0),MATCH(O$7,'Ffactorau Allyriadau'!$K$2:$V$2,0)))*$F25)</f>
        <v/>
      </c>
      <c r="P25" s="219"/>
      <c r="Q25" s="54"/>
      <c r="U25" s="1"/>
      <c r="V25" s="1"/>
      <c r="W25" s="1"/>
    </row>
    <row r="26" spans="2:23" ht="15" thickBot="1" x14ac:dyDescent="0.4">
      <c r="B26" s="126"/>
      <c r="C26" s="123"/>
      <c r="D26" s="120"/>
      <c r="E26" s="123"/>
      <c r="F26" s="32" t="str">
        <f t="array" ref="F26">IF(OR($B26="",$C26="",E26=""),"",IF(E26=G26,D26,(INDEX('Ffactorau Allyriadau'!$K$3:$V$379,MATCH($B26&amp;$C26,'Ffactorau Allyriadau'!$K$3:$K$379&amp;'Ffactorau Allyriadau'!$L$3:$L$379,0),MATCH($F$7,'Ffactorau Allyriadau'!$K$2:$V$2,0)))*D26))</f>
        <v/>
      </c>
      <c r="G26" s="29" t="str">
        <f t="array" ref="G26">IF(OR($B26="",$D26="",OrganisationalWasteTable[[#This Row],[Units]]=""),"",INDEX('Ffactorau Allyriadau'!$K$3:$V$379,MATCH($B26&amp;$C26,'Ffactorau Allyriadau'!$K$3:$K$379&amp;'Ffactorau Allyriadau'!$L$3:$L$379,0),MATCH($G$7,'Ffactorau Allyriadau'!$K$2:$V$2,0)))</f>
        <v/>
      </c>
      <c r="H26" s="228" t="str">
        <f t="array" ref="H26">IF(OR(B26="",C26="",OrganisationalWasteTable[[#This Row],[Data]]=""),"",INDEX('Ffactorau Allyriadau'!$K$3:$V$379,MATCH($B26&amp;$C26,'Ffactorau Allyriadau'!$K$3:$K$379&amp;'Ffactorau Allyriadau'!$L$3:$L$379,0),MATCH($H$7,'Ffactorau Allyriadau'!$K$2:$V$2,0)))</f>
        <v/>
      </c>
      <c r="I26" s="32" t="str">
        <f>IF(OR(OrganisationalWasteTable[[#This Row],[Waste type]]="",OrganisationalWasteTable[[#This Row],[Converted data]]=""),"",SUM(OrganisationalWasteTable[[#This Row],[Direct]:[Indirect WTT]]))</f>
        <v/>
      </c>
      <c r="J26" s="122"/>
      <c r="K26" s="212" t="str">
        <f t="array" ref="K26">IF(OR($B26="",$D26="",$F26=""),"",(INDEX('Ffactorau Allyriadau'!$K$3:$V$379,MATCH($B26&amp;$C26,'Ffactorau Allyriadau'!$K$3:$K$379&amp;'Ffactorau Allyriadau'!$L$3:$L$379,0),MATCH(K$7,'Ffactorau Allyriadau'!$K$2:$V$2,0)))*$F26)</f>
        <v/>
      </c>
      <c r="L26" s="212" t="str">
        <f t="array" ref="L26">IF(OR($B26="",$D26="",$F26=""),"",(INDEX('Ffactorau Allyriadau'!$K$3:$V$379,MATCH($B26&amp;$C26,'Ffactorau Allyriadau'!$K$3:$K$379&amp;'Ffactorau Allyriadau'!$L$3:$L$379,0),MATCH(L$7,'Ffactorau Allyriadau'!$K$2:$V$2,0)))*$F26)</f>
        <v/>
      </c>
      <c r="M26" s="212" t="str">
        <f t="array" ref="M26">IF(OR($B26="",$D26="",$F26=""),"",(INDEX('Ffactorau Allyriadau'!$K$3:$V$379,MATCH($B26&amp;$C26,'Ffactorau Allyriadau'!$K$3:$K$379&amp;'Ffactorau Allyriadau'!$L$3:$L$379,0),MATCH(M$7,'Ffactorau Allyriadau'!$K$2:$V$2,0)))*$F26)</f>
        <v/>
      </c>
      <c r="N26" s="212" t="str">
        <f t="array" ref="N26">IF(OR($B26="",$D26="",$F26=""),"",(INDEX('Ffactorau Allyriadau'!$K$3:$V$379,MATCH($B26&amp;$C26,'Ffactorau Allyriadau'!$K$3:$K$379&amp;'Ffactorau Allyriadau'!$L$3:$L$379,0),MATCH(N$7,'Ffactorau Allyriadau'!$K$2:$V$2,0)))*$F26)</f>
        <v/>
      </c>
      <c r="O26" s="212" t="str">
        <f t="array" ref="O26">IF(OR($B26="",$D26="",$F26=""),"",(INDEX('Ffactorau Allyriadau'!$K$3:$V$379,MATCH($B26&amp;$C26,'Ffactorau Allyriadau'!$K$3:$K$379&amp;'Ffactorau Allyriadau'!$L$3:$L$379,0),MATCH(O$7,'Ffactorau Allyriadau'!$K$2:$V$2,0)))*$F26)</f>
        <v/>
      </c>
      <c r="P26" s="219"/>
      <c r="Q26" s="54"/>
      <c r="U26" s="1"/>
      <c r="V26" s="1"/>
      <c r="W26" s="1"/>
    </row>
    <row r="27" spans="2:23" ht="15" thickBot="1" x14ac:dyDescent="0.4">
      <c r="B27" s="126"/>
      <c r="C27" s="123"/>
      <c r="D27" s="120"/>
      <c r="E27" s="123"/>
      <c r="F27" s="32" t="str">
        <f t="array" ref="F27">IF(OR($B27="",$C27="",E27=""),"",IF(E27=G27,D27,(INDEX('Ffactorau Allyriadau'!$K$3:$V$379,MATCH($B27&amp;$C27,'Ffactorau Allyriadau'!$K$3:$K$379&amp;'Ffactorau Allyriadau'!$L$3:$L$379,0),MATCH($F$7,'Ffactorau Allyriadau'!$K$2:$V$2,0)))*D27))</f>
        <v/>
      </c>
      <c r="G27" s="29" t="str">
        <f t="array" ref="G27">IF(OR($B27="",$D27="",OrganisationalWasteTable[[#This Row],[Units]]=""),"",INDEX('Ffactorau Allyriadau'!$K$3:$V$379,MATCH($B27&amp;$C27,'Ffactorau Allyriadau'!$K$3:$K$379&amp;'Ffactorau Allyriadau'!$L$3:$L$379,0),MATCH($G$7,'Ffactorau Allyriadau'!$K$2:$V$2,0)))</f>
        <v/>
      </c>
      <c r="H27" s="228" t="str">
        <f t="array" ref="H27">IF(OR(B27="",C27="",OrganisationalWasteTable[[#This Row],[Data]]=""),"",INDEX('Ffactorau Allyriadau'!$K$3:$V$379,MATCH($B27&amp;$C27,'Ffactorau Allyriadau'!$K$3:$K$379&amp;'Ffactorau Allyriadau'!$L$3:$L$379,0),MATCH($H$7,'Ffactorau Allyriadau'!$K$2:$V$2,0)))</f>
        <v/>
      </c>
      <c r="I27" s="32" t="str">
        <f>IF(OR(OrganisationalWasteTable[[#This Row],[Waste type]]="",OrganisationalWasteTable[[#This Row],[Converted data]]=""),"",SUM(OrganisationalWasteTable[[#This Row],[Direct]:[Indirect WTT]]))</f>
        <v/>
      </c>
      <c r="J27" s="122"/>
      <c r="K27" s="212" t="str">
        <f t="array" ref="K27">IF(OR($B27="",$D27="",$F27=""),"",(INDEX('Ffactorau Allyriadau'!$K$3:$V$379,MATCH($B27&amp;$C27,'Ffactorau Allyriadau'!$K$3:$K$379&amp;'Ffactorau Allyriadau'!$L$3:$L$379,0),MATCH(K$7,'Ffactorau Allyriadau'!$K$2:$V$2,0)))*$F27)</f>
        <v/>
      </c>
      <c r="L27" s="212" t="str">
        <f t="array" ref="L27">IF(OR($B27="",$D27="",$F27=""),"",(INDEX('Ffactorau Allyriadau'!$K$3:$V$379,MATCH($B27&amp;$C27,'Ffactorau Allyriadau'!$K$3:$K$379&amp;'Ffactorau Allyriadau'!$L$3:$L$379,0),MATCH(L$7,'Ffactorau Allyriadau'!$K$2:$V$2,0)))*$F27)</f>
        <v/>
      </c>
      <c r="M27" s="212" t="str">
        <f t="array" ref="M27">IF(OR($B27="",$D27="",$F27=""),"",(INDEX('Ffactorau Allyriadau'!$K$3:$V$379,MATCH($B27&amp;$C27,'Ffactorau Allyriadau'!$K$3:$K$379&amp;'Ffactorau Allyriadau'!$L$3:$L$379,0),MATCH(M$7,'Ffactorau Allyriadau'!$K$2:$V$2,0)))*$F27)</f>
        <v/>
      </c>
      <c r="N27" s="212" t="str">
        <f t="array" ref="N27">IF(OR($B27="",$D27="",$F27=""),"",(INDEX('Ffactorau Allyriadau'!$K$3:$V$379,MATCH($B27&amp;$C27,'Ffactorau Allyriadau'!$K$3:$K$379&amp;'Ffactorau Allyriadau'!$L$3:$L$379,0),MATCH(N$7,'Ffactorau Allyriadau'!$K$2:$V$2,0)))*$F27)</f>
        <v/>
      </c>
      <c r="O27" s="212" t="str">
        <f t="array" ref="O27">IF(OR($B27="",$D27="",$F27=""),"",(INDEX('Ffactorau Allyriadau'!$K$3:$V$379,MATCH($B27&amp;$C27,'Ffactorau Allyriadau'!$K$3:$K$379&amp;'Ffactorau Allyriadau'!$L$3:$L$379,0),MATCH(O$7,'Ffactorau Allyriadau'!$K$2:$V$2,0)))*$F27)</f>
        <v/>
      </c>
      <c r="P27" s="219"/>
      <c r="Q27" s="54"/>
      <c r="U27" s="1"/>
      <c r="V27" s="1"/>
      <c r="W27" s="1"/>
    </row>
    <row r="28" spans="2:23" ht="15" thickBot="1" x14ac:dyDescent="0.4">
      <c r="B28" s="126"/>
      <c r="C28" s="123"/>
      <c r="D28" s="120"/>
      <c r="E28" s="123"/>
      <c r="F28" s="32" t="str">
        <f t="array" ref="F28">IF(OR($B28="",$C28="",E28=""),"",IF(E28=G28,D28,(INDEX('Ffactorau Allyriadau'!$K$3:$V$379,MATCH($B28&amp;$C28,'Ffactorau Allyriadau'!$K$3:$K$379&amp;'Ffactorau Allyriadau'!$L$3:$L$379,0),MATCH($F$7,'Ffactorau Allyriadau'!$K$2:$V$2,0)))*D28))</f>
        <v/>
      </c>
      <c r="G28" s="29" t="str">
        <f t="array" ref="G28">IF(OR($B28="",$D28="",OrganisationalWasteTable[[#This Row],[Units]]=""),"",INDEX('Ffactorau Allyriadau'!$K$3:$V$379,MATCH($B28&amp;$C28,'Ffactorau Allyriadau'!$K$3:$K$379&amp;'Ffactorau Allyriadau'!$L$3:$L$379,0),MATCH($G$7,'Ffactorau Allyriadau'!$K$2:$V$2,0)))</f>
        <v/>
      </c>
      <c r="H28" s="228" t="str">
        <f t="array" ref="H28">IF(OR(B28="",C28="",OrganisationalWasteTable[[#This Row],[Data]]=""),"",INDEX('Ffactorau Allyriadau'!$K$3:$V$379,MATCH($B28&amp;$C28,'Ffactorau Allyriadau'!$K$3:$K$379&amp;'Ffactorau Allyriadau'!$L$3:$L$379,0),MATCH($H$7,'Ffactorau Allyriadau'!$K$2:$V$2,0)))</f>
        <v/>
      </c>
      <c r="I28" s="32" t="str">
        <f>IF(OR(OrganisationalWasteTable[[#This Row],[Waste type]]="",OrganisationalWasteTable[[#This Row],[Converted data]]=""),"",SUM(OrganisationalWasteTable[[#This Row],[Direct]:[Indirect WTT]]))</f>
        <v/>
      </c>
      <c r="J28" s="122"/>
      <c r="K28" s="212" t="str">
        <f t="array" ref="K28">IF(OR($B28="",$D28="",$F28=""),"",(INDEX('Ffactorau Allyriadau'!$K$3:$V$379,MATCH($B28&amp;$C28,'Ffactorau Allyriadau'!$K$3:$K$379&amp;'Ffactorau Allyriadau'!$L$3:$L$379,0),MATCH(K$7,'Ffactorau Allyriadau'!$K$2:$V$2,0)))*$F28)</f>
        <v/>
      </c>
      <c r="L28" s="212" t="str">
        <f t="array" ref="L28">IF(OR($B28="",$D28="",$F28=""),"",(INDEX('Ffactorau Allyriadau'!$K$3:$V$379,MATCH($B28&amp;$C28,'Ffactorau Allyriadau'!$K$3:$K$379&amp;'Ffactorau Allyriadau'!$L$3:$L$379,0),MATCH(L$7,'Ffactorau Allyriadau'!$K$2:$V$2,0)))*$F28)</f>
        <v/>
      </c>
      <c r="M28" s="212" t="str">
        <f t="array" ref="M28">IF(OR($B28="",$D28="",$F28=""),"",(INDEX('Ffactorau Allyriadau'!$K$3:$V$379,MATCH($B28&amp;$C28,'Ffactorau Allyriadau'!$K$3:$K$379&amp;'Ffactorau Allyriadau'!$L$3:$L$379,0),MATCH(M$7,'Ffactorau Allyriadau'!$K$2:$V$2,0)))*$F28)</f>
        <v/>
      </c>
      <c r="N28" s="212" t="str">
        <f t="array" ref="N28">IF(OR($B28="",$D28="",$F28=""),"",(INDEX('Ffactorau Allyriadau'!$K$3:$V$379,MATCH($B28&amp;$C28,'Ffactorau Allyriadau'!$K$3:$K$379&amp;'Ffactorau Allyriadau'!$L$3:$L$379,0),MATCH(N$7,'Ffactorau Allyriadau'!$K$2:$V$2,0)))*$F28)</f>
        <v/>
      </c>
      <c r="O28" s="212" t="str">
        <f t="array" ref="O28">IF(OR($B28="",$D28="",$F28=""),"",(INDEX('Ffactorau Allyriadau'!$K$3:$V$379,MATCH($B28&amp;$C28,'Ffactorau Allyriadau'!$K$3:$K$379&amp;'Ffactorau Allyriadau'!$L$3:$L$379,0),MATCH(O$7,'Ffactorau Allyriadau'!$K$2:$V$2,0)))*$F28)</f>
        <v/>
      </c>
      <c r="P28" s="219"/>
      <c r="Q28" s="54"/>
      <c r="U28" s="1"/>
      <c r="V28" s="1"/>
      <c r="W28" s="1"/>
    </row>
    <row r="29" spans="2:23" ht="15" thickBot="1" x14ac:dyDescent="0.4">
      <c r="B29" s="126"/>
      <c r="C29" s="123"/>
      <c r="D29" s="120"/>
      <c r="E29" s="123"/>
      <c r="F29" s="32" t="str">
        <f t="array" ref="F29">IF(OR($B29="",$C29="",E29=""),"",IF(E29=G29,D29,(INDEX('Ffactorau Allyriadau'!$K$3:$V$379,MATCH($B29&amp;$C29,'Ffactorau Allyriadau'!$K$3:$K$379&amp;'Ffactorau Allyriadau'!$L$3:$L$379,0),MATCH($F$7,'Ffactorau Allyriadau'!$K$2:$V$2,0)))*D29))</f>
        <v/>
      </c>
      <c r="G29" s="29" t="str">
        <f t="array" ref="G29">IF(OR($B29="",$D29="",OrganisationalWasteTable[[#This Row],[Units]]=""),"",INDEX('Ffactorau Allyriadau'!$K$3:$V$379,MATCH($B29&amp;$C29,'Ffactorau Allyriadau'!$K$3:$K$379&amp;'Ffactorau Allyriadau'!$L$3:$L$379,0),MATCH($G$7,'Ffactorau Allyriadau'!$K$2:$V$2,0)))</f>
        <v/>
      </c>
      <c r="H29" s="228" t="str">
        <f t="array" ref="H29">IF(OR(B29="",C29="",OrganisationalWasteTable[[#This Row],[Data]]=""),"",INDEX('Ffactorau Allyriadau'!$K$3:$V$379,MATCH($B29&amp;$C29,'Ffactorau Allyriadau'!$K$3:$K$379&amp;'Ffactorau Allyriadau'!$L$3:$L$379,0),MATCH($H$7,'Ffactorau Allyriadau'!$K$2:$V$2,0)))</f>
        <v/>
      </c>
      <c r="I29" s="32" t="str">
        <f>IF(OR(OrganisationalWasteTable[[#This Row],[Waste type]]="",OrganisationalWasteTable[[#This Row],[Converted data]]=""),"",SUM(OrganisationalWasteTable[[#This Row],[Direct]:[Indirect WTT]]))</f>
        <v/>
      </c>
      <c r="J29" s="122"/>
      <c r="K29" s="212" t="str">
        <f t="array" ref="K29">IF(OR($B29="",$D29="",$F29=""),"",(INDEX('Ffactorau Allyriadau'!$K$3:$V$379,MATCH($B29&amp;$C29,'Ffactorau Allyriadau'!$K$3:$K$379&amp;'Ffactorau Allyriadau'!$L$3:$L$379,0),MATCH(K$7,'Ffactorau Allyriadau'!$K$2:$V$2,0)))*$F29)</f>
        <v/>
      </c>
      <c r="L29" s="212" t="str">
        <f t="array" ref="L29">IF(OR($B29="",$D29="",$F29=""),"",(INDEX('Ffactorau Allyriadau'!$K$3:$V$379,MATCH($B29&amp;$C29,'Ffactorau Allyriadau'!$K$3:$K$379&amp;'Ffactorau Allyriadau'!$L$3:$L$379,0),MATCH(L$7,'Ffactorau Allyriadau'!$K$2:$V$2,0)))*$F29)</f>
        <v/>
      </c>
      <c r="M29" s="212" t="str">
        <f t="array" ref="M29">IF(OR($B29="",$D29="",$F29=""),"",(INDEX('Ffactorau Allyriadau'!$K$3:$V$379,MATCH($B29&amp;$C29,'Ffactorau Allyriadau'!$K$3:$K$379&amp;'Ffactorau Allyriadau'!$L$3:$L$379,0),MATCH(M$7,'Ffactorau Allyriadau'!$K$2:$V$2,0)))*$F29)</f>
        <v/>
      </c>
      <c r="N29" s="212" t="str">
        <f t="array" ref="N29">IF(OR($B29="",$D29="",$F29=""),"",(INDEX('Ffactorau Allyriadau'!$K$3:$V$379,MATCH($B29&amp;$C29,'Ffactorau Allyriadau'!$K$3:$K$379&amp;'Ffactorau Allyriadau'!$L$3:$L$379,0),MATCH(N$7,'Ffactorau Allyriadau'!$K$2:$V$2,0)))*$F29)</f>
        <v/>
      </c>
      <c r="O29" s="212" t="str">
        <f t="array" ref="O29">IF(OR($B29="",$D29="",$F29=""),"",(INDEX('Ffactorau Allyriadau'!$K$3:$V$379,MATCH($B29&amp;$C29,'Ffactorau Allyriadau'!$K$3:$K$379&amp;'Ffactorau Allyriadau'!$L$3:$L$379,0),MATCH(O$7,'Ffactorau Allyriadau'!$K$2:$V$2,0)))*$F29)</f>
        <v/>
      </c>
      <c r="P29" s="219"/>
      <c r="Q29" s="54"/>
      <c r="U29" s="1"/>
      <c r="V29" s="1"/>
      <c r="W29" s="1"/>
    </row>
    <row r="30" spans="2:23" ht="15" thickBot="1" x14ac:dyDescent="0.4">
      <c r="B30" s="126"/>
      <c r="C30" s="123"/>
      <c r="D30" s="120"/>
      <c r="E30" s="123"/>
      <c r="F30" s="32" t="str">
        <f t="array" ref="F30">IF(OR($B30="",$C30="",E30=""),"",IF(E30=G30,D30,(INDEX('Ffactorau Allyriadau'!$K$3:$V$379,MATCH($B30&amp;$C30,'Ffactorau Allyriadau'!$K$3:$K$379&amp;'Ffactorau Allyriadau'!$L$3:$L$379,0),MATCH($F$7,'Ffactorau Allyriadau'!$K$2:$V$2,0)))*D30))</f>
        <v/>
      </c>
      <c r="G30" s="29" t="str">
        <f t="array" ref="G30">IF(OR($B30="",$D30="",OrganisationalWasteTable[[#This Row],[Units]]=""),"",INDEX('Ffactorau Allyriadau'!$K$3:$V$379,MATCH($B30&amp;$C30,'Ffactorau Allyriadau'!$K$3:$K$379&amp;'Ffactorau Allyriadau'!$L$3:$L$379,0),MATCH($G$7,'Ffactorau Allyriadau'!$K$2:$V$2,0)))</f>
        <v/>
      </c>
      <c r="H30" s="228" t="str">
        <f t="array" ref="H30">IF(OR(B30="",C30="",OrganisationalWasteTable[[#This Row],[Data]]=""),"",INDEX('Ffactorau Allyriadau'!$K$3:$V$379,MATCH($B30&amp;$C30,'Ffactorau Allyriadau'!$K$3:$K$379&amp;'Ffactorau Allyriadau'!$L$3:$L$379,0),MATCH($H$7,'Ffactorau Allyriadau'!$K$2:$V$2,0)))</f>
        <v/>
      </c>
      <c r="I30" s="32" t="str">
        <f>IF(OR(OrganisationalWasteTable[[#This Row],[Waste type]]="",OrganisationalWasteTable[[#This Row],[Converted data]]=""),"",SUM(OrganisationalWasteTable[[#This Row],[Direct]:[Indirect WTT]]))</f>
        <v/>
      </c>
      <c r="J30" s="122"/>
      <c r="K30" s="212" t="str">
        <f t="array" ref="K30">IF(OR($B30="",$D30="",$F30=""),"",(INDEX('Ffactorau Allyriadau'!$K$3:$V$379,MATCH($B30&amp;$C30,'Ffactorau Allyriadau'!$K$3:$K$379&amp;'Ffactorau Allyriadau'!$L$3:$L$379,0),MATCH(K$7,'Ffactorau Allyriadau'!$K$2:$V$2,0)))*$F30)</f>
        <v/>
      </c>
      <c r="L30" s="212" t="str">
        <f t="array" ref="L30">IF(OR($B30="",$D30="",$F30=""),"",(INDEX('Ffactorau Allyriadau'!$K$3:$V$379,MATCH($B30&amp;$C30,'Ffactorau Allyriadau'!$K$3:$K$379&amp;'Ffactorau Allyriadau'!$L$3:$L$379,0),MATCH(L$7,'Ffactorau Allyriadau'!$K$2:$V$2,0)))*$F30)</f>
        <v/>
      </c>
      <c r="M30" s="212" t="str">
        <f t="array" ref="M30">IF(OR($B30="",$D30="",$F30=""),"",(INDEX('Ffactorau Allyriadau'!$K$3:$V$379,MATCH($B30&amp;$C30,'Ffactorau Allyriadau'!$K$3:$K$379&amp;'Ffactorau Allyriadau'!$L$3:$L$379,0),MATCH(M$7,'Ffactorau Allyriadau'!$K$2:$V$2,0)))*$F30)</f>
        <v/>
      </c>
      <c r="N30" s="212" t="str">
        <f t="array" ref="N30">IF(OR($B30="",$D30="",$F30=""),"",(INDEX('Ffactorau Allyriadau'!$K$3:$V$379,MATCH($B30&amp;$C30,'Ffactorau Allyriadau'!$K$3:$K$379&amp;'Ffactorau Allyriadau'!$L$3:$L$379,0),MATCH(N$7,'Ffactorau Allyriadau'!$K$2:$V$2,0)))*$F30)</f>
        <v/>
      </c>
      <c r="O30" s="212" t="str">
        <f t="array" ref="O30">IF(OR($B30="",$D30="",$F30=""),"",(INDEX('Ffactorau Allyriadau'!$K$3:$V$379,MATCH($B30&amp;$C30,'Ffactorau Allyriadau'!$K$3:$K$379&amp;'Ffactorau Allyriadau'!$L$3:$L$379,0),MATCH(O$7,'Ffactorau Allyriadau'!$K$2:$V$2,0)))*$F30)</f>
        <v/>
      </c>
      <c r="P30" s="219"/>
      <c r="Q30" s="54"/>
      <c r="U30" s="1"/>
      <c r="V30" s="1"/>
      <c r="W30" s="1"/>
    </row>
    <row r="31" spans="2:23" ht="15" thickBot="1" x14ac:dyDescent="0.4">
      <c r="B31" s="126"/>
      <c r="C31" s="123"/>
      <c r="D31" s="120"/>
      <c r="E31" s="123"/>
      <c r="F31" s="32" t="str">
        <f t="array" ref="F31">IF(OR($B31="",$C31="",E31=""),"",IF(E31=G31,D31,(INDEX('Ffactorau Allyriadau'!$K$3:$V$379,MATCH($B31&amp;$C31,'Ffactorau Allyriadau'!$K$3:$K$379&amp;'Ffactorau Allyriadau'!$L$3:$L$379,0),MATCH($F$7,'Ffactorau Allyriadau'!$K$2:$V$2,0)))*D31))</f>
        <v/>
      </c>
      <c r="G31" s="29" t="str">
        <f t="array" ref="G31">IF(OR($B31="",$D31="",OrganisationalWasteTable[[#This Row],[Units]]=""),"",INDEX('Ffactorau Allyriadau'!$K$3:$V$379,MATCH($B31&amp;$C31,'Ffactorau Allyriadau'!$K$3:$K$379&amp;'Ffactorau Allyriadau'!$L$3:$L$379,0),MATCH($G$7,'Ffactorau Allyriadau'!$K$2:$V$2,0)))</f>
        <v/>
      </c>
      <c r="H31" s="228" t="str">
        <f t="array" ref="H31">IF(OR(B31="",C31="",OrganisationalWasteTable[[#This Row],[Data]]=""),"",INDEX('Ffactorau Allyriadau'!$K$3:$V$379,MATCH($B31&amp;$C31,'Ffactorau Allyriadau'!$K$3:$K$379&amp;'Ffactorau Allyriadau'!$L$3:$L$379,0),MATCH($H$7,'Ffactorau Allyriadau'!$K$2:$V$2,0)))</f>
        <v/>
      </c>
      <c r="I31" s="32" t="str">
        <f>IF(OR(OrganisationalWasteTable[[#This Row],[Waste type]]="",OrganisationalWasteTable[[#This Row],[Converted data]]=""),"",SUM(OrganisationalWasteTable[[#This Row],[Direct]:[Indirect WTT]]))</f>
        <v/>
      </c>
      <c r="J31" s="122"/>
      <c r="K31" s="212" t="str">
        <f t="array" ref="K31">IF(OR($B31="",$D31="",$F31=""),"",(INDEX('Ffactorau Allyriadau'!$K$3:$V$379,MATCH($B31&amp;$C31,'Ffactorau Allyriadau'!$K$3:$K$379&amp;'Ffactorau Allyriadau'!$L$3:$L$379,0),MATCH(K$7,'Ffactorau Allyriadau'!$K$2:$V$2,0)))*$F31)</f>
        <v/>
      </c>
      <c r="L31" s="212" t="str">
        <f t="array" ref="L31">IF(OR($B31="",$D31="",$F31=""),"",(INDEX('Ffactorau Allyriadau'!$K$3:$V$379,MATCH($B31&amp;$C31,'Ffactorau Allyriadau'!$K$3:$K$379&amp;'Ffactorau Allyriadau'!$L$3:$L$379,0),MATCH(L$7,'Ffactorau Allyriadau'!$K$2:$V$2,0)))*$F31)</f>
        <v/>
      </c>
      <c r="M31" s="212" t="str">
        <f t="array" ref="M31">IF(OR($B31="",$D31="",$F31=""),"",(INDEX('Ffactorau Allyriadau'!$K$3:$V$379,MATCH($B31&amp;$C31,'Ffactorau Allyriadau'!$K$3:$K$379&amp;'Ffactorau Allyriadau'!$L$3:$L$379,0),MATCH(M$7,'Ffactorau Allyriadau'!$K$2:$V$2,0)))*$F31)</f>
        <v/>
      </c>
      <c r="N31" s="212" t="str">
        <f t="array" ref="N31">IF(OR($B31="",$D31="",$F31=""),"",(INDEX('Ffactorau Allyriadau'!$K$3:$V$379,MATCH($B31&amp;$C31,'Ffactorau Allyriadau'!$K$3:$K$379&amp;'Ffactorau Allyriadau'!$L$3:$L$379,0),MATCH(N$7,'Ffactorau Allyriadau'!$K$2:$V$2,0)))*$F31)</f>
        <v/>
      </c>
      <c r="O31" s="212" t="str">
        <f t="array" ref="O31">IF(OR($B31="",$D31="",$F31=""),"",(INDEX('Ffactorau Allyriadau'!$K$3:$V$379,MATCH($B31&amp;$C31,'Ffactorau Allyriadau'!$K$3:$K$379&amp;'Ffactorau Allyriadau'!$L$3:$L$379,0),MATCH(O$7,'Ffactorau Allyriadau'!$K$2:$V$2,0)))*$F31)</f>
        <v/>
      </c>
      <c r="P31" s="219"/>
      <c r="Q31" s="54"/>
      <c r="U31" s="1"/>
      <c r="V31" s="1"/>
      <c r="W31" s="1"/>
    </row>
    <row r="32" spans="2:23" ht="15" thickBot="1" x14ac:dyDescent="0.4">
      <c r="B32" s="126"/>
      <c r="C32" s="123"/>
      <c r="D32" s="120"/>
      <c r="E32" s="123"/>
      <c r="F32" s="32" t="str">
        <f t="array" ref="F32">IF(OR($B32="",$C32="",E32=""),"",IF(E32=G32,D32,(INDEX('Ffactorau Allyriadau'!$K$3:$V$379,MATCH($B32&amp;$C32,'Ffactorau Allyriadau'!$K$3:$K$379&amp;'Ffactorau Allyriadau'!$L$3:$L$379,0),MATCH($F$7,'Ffactorau Allyriadau'!$K$2:$V$2,0)))*D32))</f>
        <v/>
      </c>
      <c r="G32" s="29" t="str">
        <f t="array" ref="G32">IF(OR($B32="",$D32="",OrganisationalWasteTable[[#This Row],[Units]]=""),"",INDEX('Ffactorau Allyriadau'!$K$3:$V$379,MATCH($B32&amp;$C32,'Ffactorau Allyriadau'!$K$3:$K$379&amp;'Ffactorau Allyriadau'!$L$3:$L$379,0),MATCH($G$7,'Ffactorau Allyriadau'!$K$2:$V$2,0)))</f>
        <v/>
      </c>
      <c r="H32" s="228" t="str">
        <f t="array" ref="H32">IF(OR(B32="",C32="",OrganisationalWasteTable[[#This Row],[Data]]=""),"",INDEX('Ffactorau Allyriadau'!$K$3:$V$379,MATCH($B32&amp;$C32,'Ffactorau Allyriadau'!$K$3:$K$379&amp;'Ffactorau Allyriadau'!$L$3:$L$379,0),MATCH($H$7,'Ffactorau Allyriadau'!$K$2:$V$2,0)))</f>
        <v/>
      </c>
      <c r="I32" s="32" t="str">
        <f>IF(OR(OrganisationalWasteTable[[#This Row],[Waste type]]="",OrganisationalWasteTable[[#This Row],[Converted data]]=""),"",SUM(OrganisationalWasteTable[[#This Row],[Direct]:[Indirect WTT]]))</f>
        <v/>
      </c>
      <c r="J32" s="122"/>
      <c r="K32" s="212" t="str">
        <f t="array" ref="K32">IF(OR($B32="",$D32="",$F32=""),"",(INDEX('Ffactorau Allyriadau'!$K$3:$V$379,MATCH($B32&amp;$C32,'Ffactorau Allyriadau'!$K$3:$K$379&amp;'Ffactorau Allyriadau'!$L$3:$L$379,0),MATCH(K$7,'Ffactorau Allyriadau'!$K$2:$V$2,0)))*$F32)</f>
        <v/>
      </c>
      <c r="L32" s="212" t="str">
        <f t="array" ref="L32">IF(OR($B32="",$D32="",$F32=""),"",(INDEX('Ffactorau Allyriadau'!$K$3:$V$379,MATCH($B32&amp;$C32,'Ffactorau Allyriadau'!$K$3:$K$379&amp;'Ffactorau Allyriadau'!$L$3:$L$379,0),MATCH(L$7,'Ffactorau Allyriadau'!$K$2:$V$2,0)))*$F32)</f>
        <v/>
      </c>
      <c r="M32" s="212" t="str">
        <f t="array" ref="M32">IF(OR($B32="",$D32="",$F32=""),"",(INDEX('Ffactorau Allyriadau'!$K$3:$V$379,MATCH($B32&amp;$C32,'Ffactorau Allyriadau'!$K$3:$K$379&amp;'Ffactorau Allyriadau'!$L$3:$L$379,0),MATCH(M$7,'Ffactorau Allyriadau'!$K$2:$V$2,0)))*$F32)</f>
        <v/>
      </c>
      <c r="N32" s="212" t="str">
        <f t="array" ref="N32">IF(OR($B32="",$D32="",$F32=""),"",(INDEX('Ffactorau Allyriadau'!$K$3:$V$379,MATCH($B32&amp;$C32,'Ffactorau Allyriadau'!$K$3:$K$379&amp;'Ffactorau Allyriadau'!$L$3:$L$379,0),MATCH(N$7,'Ffactorau Allyriadau'!$K$2:$V$2,0)))*$F32)</f>
        <v/>
      </c>
      <c r="O32" s="212" t="str">
        <f t="array" ref="O32">IF(OR($B32="",$D32="",$F32=""),"",(INDEX('Ffactorau Allyriadau'!$K$3:$V$379,MATCH($B32&amp;$C32,'Ffactorau Allyriadau'!$K$3:$K$379&amp;'Ffactorau Allyriadau'!$L$3:$L$379,0),MATCH(O$7,'Ffactorau Allyriadau'!$K$2:$V$2,0)))*$F32)</f>
        <v/>
      </c>
      <c r="P32" s="219"/>
      <c r="Q32" s="54"/>
      <c r="U32" s="1"/>
      <c r="V32" s="1"/>
      <c r="W32" s="1"/>
    </row>
    <row r="33" spans="2:23" ht="15" thickBot="1" x14ac:dyDescent="0.4">
      <c r="B33" s="126"/>
      <c r="C33" s="123"/>
      <c r="D33" s="120"/>
      <c r="E33" s="123"/>
      <c r="F33" s="32" t="str">
        <f t="array" ref="F33">IF(OR($B33="",$C33="",E33=""),"",IF(E33=G33,D33,(INDEX('Ffactorau Allyriadau'!$K$3:$V$379,MATCH($B33&amp;$C33,'Ffactorau Allyriadau'!$K$3:$K$379&amp;'Ffactorau Allyriadau'!$L$3:$L$379,0),MATCH($F$7,'Ffactorau Allyriadau'!$K$2:$V$2,0)))*D33))</f>
        <v/>
      </c>
      <c r="G33" s="29" t="str">
        <f t="array" ref="G33">IF(OR($B33="",$D33="",OrganisationalWasteTable[[#This Row],[Units]]=""),"",INDEX('Ffactorau Allyriadau'!$K$3:$V$379,MATCH($B33&amp;$C33,'Ffactorau Allyriadau'!$K$3:$K$379&amp;'Ffactorau Allyriadau'!$L$3:$L$379,0),MATCH($G$7,'Ffactorau Allyriadau'!$K$2:$V$2,0)))</f>
        <v/>
      </c>
      <c r="H33" s="228" t="str">
        <f t="array" ref="H33">IF(OR(B33="",C33="",OrganisationalWasteTable[[#This Row],[Data]]=""),"",INDEX('Ffactorau Allyriadau'!$K$3:$V$379,MATCH($B33&amp;$C33,'Ffactorau Allyriadau'!$K$3:$K$379&amp;'Ffactorau Allyriadau'!$L$3:$L$379,0),MATCH($H$7,'Ffactorau Allyriadau'!$K$2:$V$2,0)))</f>
        <v/>
      </c>
      <c r="I33" s="32" t="str">
        <f>IF(OR(OrganisationalWasteTable[[#This Row],[Waste type]]="",OrganisationalWasteTable[[#This Row],[Converted data]]=""),"",SUM(OrganisationalWasteTable[[#This Row],[Direct]:[Indirect WTT]]))</f>
        <v/>
      </c>
      <c r="J33" s="122"/>
      <c r="K33" s="212" t="str">
        <f t="array" ref="K33">IF(OR($B33="",$D33="",$F33=""),"",(INDEX('Ffactorau Allyriadau'!$K$3:$V$379,MATCH($B33&amp;$C33,'Ffactorau Allyriadau'!$K$3:$K$379&amp;'Ffactorau Allyriadau'!$L$3:$L$379,0),MATCH(K$7,'Ffactorau Allyriadau'!$K$2:$V$2,0)))*$F33)</f>
        <v/>
      </c>
      <c r="L33" s="212" t="str">
        <f t="array" ref="L33">IF(OR($B33="",$D33="",$F33=""),"",(INDEX('Ffactorau Allyriadau'!$K$3:$V$379,MATCH($B33&amp;$C33,'Ffactorau Allyriadau'!$K$3:$K$379&amp;'Ffactorau Allyriadau'!$L$3:$L$379,0),MATCH(L$7,'Ffactorau Allyriadau'!$K$2:$V$2,0)))*$F33)</f>
        <v/>
      </c>
      <c r="M33" s="212" t="str">
        <f t="array" ref="M33">IF(OR($B33="",$D33="",$F33=""),"",(INDEX('Ffactorau Allyriadau'!$K$3:$V$379,MATCH($B33&amp;$C33,'Ffactorau Allyriadau'!$K$3:$K$379&amp;'Ffactorau Allyriadau'!$L$3:$L$379,0),MATCH(M$7,'Ffactorau Allyriadau'!$K$2:$V$2,0)))*$F33)</f>
        <v/>
      </c>
      <c r="N33" s="212" t="str">
        <f t="array" ref="N33">IF(OR($B33="",$D33="",$F33=""),"",(INDEX('Ffactorau Allyriadau'!$K$3:$V$379,MATCH($B33&amp;$C33,'Ffactorau Allyriadau'!$K$3:$K$379&amp;'Ffactorau Allyriadau'!$L$3:$L$379,0),MATCH(N$7,'Ffactorau Allyriadau'!$K$2:$V$2,0)))*$F33)</f>
        <v/>
      </c>
      <c r="O33" s="212" t="str">
        <f t="array" ref="O33">IF(OR($B33="",$D33="",$F33=""),"",(INDEX('Ffactorau Allyriadau'!$K$3:$V$379,MATCH($B33&amp;$C33,'Ffactorau Allyriadau'!$K$3:$K$379&amp;'Ffactorau Allyriadau'!$L$3:$L$379,0),MATCH(O$7,'Ffactorau Allyriadau'!$K$2:$V$2,0)))*$F33)</f>
        <v/>
      </c>
      <c r="P33" s="219"/>
      <c r="Q33" s="54"/>
      <c r="U33" s="1"/>
      <c r="V33" s="1"/>
      <c r="W33" s="1"/>
    </row>
    <row r="34" spans="2:23" ht="15" thickBot="1" x14ac:dyDescent="0.4">
      <c r="B34" s="126"/>
      <c r="C34" s="123"/>
      <c r="D34" s="120"/>
      <c r="E34" s="123"/>
      <c r="F34" s="32" t="str">
        <f t="array" ref="F34">IF(OR($B34="",$C34="",E34=""),"",IF(E34=G34,D34,(INDEX('Ffactorau Allyriadau'!$K$3:$V$379,MATCH($B34&amp;$C34,'Ffactorau Allyriadau'!$K$3:$K$379&amp;'Ffactorau Allyriadau'!$L$3:$L$379,0),MATCH($F$7,'Ffactorau Allyriadau'!$K$2:$V$2,0)))*D34))</f>
        <v/>
      </c>
      <c r="G34" s="29" t="str">
        <f t="array" ref="G34">IF(OR($B34="",$D34="",OrganisationalWasteTable[[#This Row],[Units]]=""),"",INDEX('Ffactorau Allyriadau'!$K$3:$V$379,MATCH($B34&amp;$C34,'Ffactorau Allyriadau'!$K$3:$K$379&amp;'Ffactorau Allyriadau'!$L$3:$L$379,0),MATCH($G$7,'Ffactorau Allyriadau'!$K$2:$V$2,0)))</f>
        <v/>
      </c>
      <c r="H34" s="228" t="str">
        <f t="array" ref="H34">IF(OR(B34="",C34="",OrganisationalWasteTable[[#This Row],[Data]]=""),"",INDEX('Ffactorau Allyriadau'!$K$3:$V$379,MATCH($B34&amp;$C34,'Ffactorau Allyriadau'!$K$3:$K$379&amp;'Ffactorau Allyriadau'!$L$3:$L$379,0),MATCH($H$7,'Ffactorau Allyriadau'!$K$2:$V$2,0)))</f>
        <v/>
      </c>
      <c r="I34" s="32" t="str">
        <f>IF(OR(OrganisationalWasteTable[[#This Row],[Waste type]]="",OrganisationalWasteTable[[#This Row],[Converted data]]=""),"",SUM(OrganisationalWasteTable[[#This Row],[Direct]:[Indirect WTT]]))</f>
        <v/>
      </c>
      <c r="J34" s="122"/>
      <c r="K34" s="212" t="str">
        <f t="array" ref="K34">IF(OR($B34="",$D34="",$F34=""),"",(INDEX('Ffactorau Allyriadau'!$K$3:$V$379,MATCH($B34&amp;$C34,'Ffactorau Allyriadau'!$K$3:$K$379&amp;'Ffactorau Allyriadau'!$L$3:$L$379,0),MATCH(K$7,'Ffactorau Allyriadau'!$K$2:$V$2,0)))*$F34)</f>
        <v/>
      </c>
      <c r="L34" s="212" t="str">
        <f t="array" ref="L34">IF(OR($B34="",$D34="",$F34=""),"",(INDEX('Ffactorau Allyriadau'!$K$3:$V$379,MATCH($B34&amp;$C34,'Ffactorau Allyriadau'!$K$3:$K$379&amp;'Ffactorau Allyriadau'!$L$3:$L$379,0),MATCH(L$7,'Ffactorau Allyriadau'!$K$2:$V$2,0)))*$F34)</f>
        <v/>
      </c>
      <c r="M34" s="212" t="str">
        <f t="array" ref="M34">IF(OR($B34="",$D34="",$F34=""),"",(INDEX('Ffactorau Allyriadau'!$K$3:$V$379,MATCH($B34&amp;$C34,'Ffactorau Allyriadau'!$K$3:$K$379&amp;'Ffactorau Allyriadau'!$L$3:$L$379,0),MATCH(M$7,'Ffactorau Allyriadau'!$K$2:$V$2,0)))*$F34)</f>
        <v/>
      </c>
      <c r="N34" s="212" t="str">
        <f t="array" ref="N34">IF(OR($B34="",$D34="",$F34=""),"",(INDEX('Ffactorau Allyriadau'!$K$3:$V$379,MATCH($B34&amp;$C34,'Ffactorau Allyriadau'!$K$3:$K$379&amp;'Ffactorau Allyriadau'!$L$3:$L$379,0),MATCH(N$7,'Ffactorau Allyriadau'!$K$2:$V$2,0)))*$F34)</f>
        <v/>
      </c>
      <c r="O34" s="212" t="str">
        <f t="array" ref="O34">IF(OR($B34="",$D34="",$F34=""),"",(INDEX('Ffactorau Allyriadau'!$K$3:$V$379,MATCH($B34&amp;$C34,'Ffactorau Allyriadau'!$K$3:$K$379&amp;'Ffactorau Allyriadau'!$L$3:$L$379,0),MATCH(O$7,'Ffactorau Allyriadau'!$K$2:$V$2,0)))*$F34)</f>
        <v/>
      </c>
      <c r="P34" s="219"/>
      <c r="Q34" s="54"/>
      <c r="U34" s="1"/>
      <c r="V34" s="1"/>
      <c r="W34" s="1"/>
    </row>
    <row r="35" spans="2:23" ht="15" thickBot="1" x14ac:dyDescent="0.4">
      <c r="B35" s="126"/>
      <c r="C35" s="123"/>
      <c r="D35" s="120"/>
      <c r="E35" s="123"/>
      <c r="F35" s="32" t="str">
        <f t="array" ref="F35">IF(OR($B35="",$C35="",E35=""),"",IF(E35=G35,D35,(INDEX('Ffactorau Allyriadau'!$K$3:$V$379,MATCH($B35&amp;$C35,'Ffactorau Allyriadau'!$K$3:$K$379&amp;'Ffactorau Allyriadau'!$L$3:$L$379,0),MATCH($F$7,'Ffactorau Allyriadau'!$K$2:$V$2,0)))*D35))</f>
        <v/>
      </c>
      <c r="G35" s="29" t="str">
        <f t="array" ref="G35">IF(OR($B35="",$D35="",OrganisationalWasteTable[[#This Row],[Units]]=""),"",INDEX('Ffactorau Allyriadau'!$K$3:$V$379,MATCH($B35&amp;$C35,'Ffactorau Allyriadau'!$K$3:$K$379&amp;'Ffactorau Allyriadau'!$L$3:$L$379,0),MATCH($G$7,'Ffactorau Allyriadau'!$K$2:$V$2,0)))</f>
        <v/>
      </c>
      <c r="H35" s="228" t="str">
        <f t="array" ref="H35">IF(OR(B35="",C35="",OrganisationalWasteTable[[#This Row],[Data]]=""),"",INDEX('Ffactorau Allyriadau'!$K$3:$V$379,MATCH($B35&amp;$C35,'Ffactorau Allyriadau'!$K$3:$K$379&amp;'Ffactorau Allyriadau'!$L$3:$L$379,0),MATCH($H$7,'Ffactorau Allyriadau'!$K$2:$V$2,0)))</f>
        <v/>
      </c>
      <c r="I35" s="32" t="str">
        <f>IF(OR(OrganisationalWasteTable[[#This Row],[Waste type]]="",OrganisationalWasteTable[[#This Row],[Converted data]]=""),"",SUM(OrganisationalWasteTable[[#This Row],[Direct]:[Indirect WTT]]))</f>
        <v/>
      </c>
      <c r="J35" s="122"/>
      <c r="K35" s="212" t="str">
        <f t="array" ref="K35">IF(OR($B35="",$D35="",$F35=""),"",(INDEX('Ffactorau Allyriadau'!$K$3:$V$379,MATCH($B35&amp;$C35,'Ffactorau Allyriadau'!$K$3:$K$379&amp;'Ffactorau Allyriadau'!$L$3:$L$379,0),MATCH(K$7,'Ffactorau Allyriadau'!$K$2:$V$2,0)))*$F35)</f>
        <v/>
      </c>
      <c r="L35" s="212" t="str">
        <f t="array" ref="L35">IF(OR($B35="",$D35="",$F35=""),"",(INDEX('Ffactorau Allyriadau'!$K$3:$V$379,MATCH($B35&amp;$C35,'Ffactorau Allyriadau'!$K$3:$K$379&amp;'Ffactorau Allyriadau'!$L$3:$L$379,0),MATCH(L$7,'Ffactorau Allyriadau'!$K$2:$V$2,0)))*$F35)</f>
        <v/>
      </c>
      <c r="M35" s="212" t="str">
        <f t="array" ref="M35">IF(OR($B35="",$D35="",$F35=""),"",(INDEX('Ffactorau Allyriadau'!$K$3:$V$379,MATCH($B35&amp;$C35,'Ffactorau Allyriadau'!$K$3:$K$379&amp;'Ffactorau Allyriadau'!$L$3:$L$379,0),MATCH(M$7,'Ffactorau Allyriadau'!$K$2:$V$2,0)))*$F35)</f>
        <v/>
      </c>
      <c r="N35" s="212" t="str">
        <f t="array" ref="N35">IF(OR($B35="",$D35="",$F35=""),"",(INDEX('Ffactorau Allyriadau'!$K$3:$V$379,MATCH($B35&amp;$C35,'Ffactorau Allyriadau'!$K$3:$K$379&amp;'Ffactorau Allyriadau'!$L$3:$L$379,0),MATCH(N$7,'Ffactorau Allyriadau'!$K$2:$V$2,0)))*$F35)</f>
        <v/>
      </c>
      <c r="O35" s="212" t="str">
        <f t="array" ref="O35">IF(OR($B35="",$D35="",$F35=""),"",(INDEX('Ffactorau Allyriadau'!$K$3:$V$379,MATCH($B35&amp;$C35,'Ffactorau Allyriadau'!$K$3:$K$379&amp;'Ffactorau Allyriadau'!$L$3:$L$379,0),MATCH(O$7,'Ffactorau Allyriadau'!$K$2:$V$2,0)))*$F35)</f>
        <v/>
      </c>
      <c r="P35" s="219"/>
      <c r="Q35" s="54"/>
      <c r="U35" s="1"/>
      <c r="V35" s="1"/>
      <c r="W35" s="1"/>
    </row>
    <row r="36" spans="2:23" ht="15" thickBot="1" x14ac:dyDescent="0.4">
      <c r="B36" s="126"/>
      <c r="C36" s="123"/>
      <c r="D36" s="120"/>
      <c r="E36" s="123"/>
      <c r="F36" s="32" t="str">
        <f t="array" ref="F36">IF(OR($B36="",$C36="",E36=""),"",IF(E36=G36,D36,(INDEX('Ffactorau Allyriadau'!$K$3:$V$379,MATCH($B36&amp;$C36,'Ffactorau Allyriadau'!$K$3:$K$379&amp;'Ffactorau Allyriadau'!$L$3:$L$379,0),MATCH($F$7,'Ffactorau Allyriadau'!$K$2:$V$2,0)))*D36))</f>
        <v/>
      </c>
      <c r="G36" s="29" t="str">
        <f t="array" ref="G36">IF(OR($B36="",$D36="",OrganisationalWasteTable[[#This Row],[Units]]=""),"",INDEX('Ffactorau Allyriadau'!$K$3:$V$379,MATCH($B36&amp;$C36,'Ffactorau Allyriadau'!$K$3:$K$379&amp;'Ffactorau Allyriadau'!$L$3:$L$379,0),MATCH($G$7,'Ffactorau Allyriadau'!$K$2:$V$2,0)))</f>
        <v/>
      </c>
      <c r="H36" s="228" t="str">
        <f t="array" ref="H36">IF(OR(B36="",C36="",OrganisationalWasteTable[[#This Row],[Data]]=""),"",INDEX('Ffactorau Allyriadau'!$K$3:$V$379,MATCH($B36&amp;$C36,'Ffactorau Allyriadau'!$K$3:$K$379&amp;'Ffactorau Allyriadau'!$L$3:$L$379,0),MATCH($H$7,'Ffactorau Allyriadau'!$K$2:$V$2,0)))</f>
        <v/>
      </c>
      <c r="I36" s="32" t="str">
        <f>IF(OR(OrganisationalWasteTable[[#This Row],[Waste type]]="",OrganisationalWasteTable[[#This Row],[Converted data]]=""),"",SUM(OrganisationalWasteTable[[#This Row],[Direct]:[Indirect WTT]]))</f>
        <v/>
      </c>
      <c r="J36" s="122"/>
      <c r="K36" s="212" t="str">
        <f t="array" ref="K36">IF(OR($B36="",$D36="",$F36=""),"",(INDEX('Ffactorau Allyriadau'!$K$3:$V$379,MATCH($B36&amp;$C36,'Ffactorau Allyriadau'!$K$3:$K$379&amp;'Ffactorau Allyriadau'!$L$3:$L$379,0),MATCH(K$7,'Ffactorau Allyriadau'!$K$2:$V$2,0)))*$F36)</f>
        <v/>
      </c>
      <c r="L36" s="212" t="str">
        <f t="array" ref="L36">IF(OR($B36="",$D36="",$F36=""),"",(INDEX('Ffactorau Allyriadau'!$K$3:$V$379,MATCH($B36&amp;$C36,'Ffactorau Allyriadau'!$K$3:$K$379&amp;'Ffactorau Allyriadau'!$L$3:$L$379,0),MATCH(L$7,'Ffactorau Allyriadau'!$K$2:$V$2,0)))*$F36)</f>
        <v/>
      </c>
      <c r="M36" s="212" t="str">
        <f t="array" ref="M36">IF(OR($B36="",$D36="",$F36=""),"",(INDEX('Ffactorau Allyriadau'!$K$3:$V$379,MATCH($B36&amp;$C36,'Ffactorau Allyriadau'!$K$3:$K$379&amp;'Ffactorau Allyriadau'!$L$3:$L$379,0),MATCH(M$7,'Ffactorau Allyriadau'!$K$2:$V$2,0)))*$F36)</f>
        <v/>
      </c>
      <c r="N36" s="212" t="str">
        <f t="array" ref="N36">IF(OR($B36="",$D36="",$F36=""),"",(INDEX('Ffactorau Allyriadau'!$K$3:$V$379,MATCH($B36&amp;$C36,'Ffactorau Allyriadau'!$K$3:$K$379&amp;'Ffactorau Allyriadau'!$L$3:$L$379,0),MATCH(N$7,'Ffactorau Allyriadau'!$K$2:$V$2,0)))*$F36)</f>
        <v/>
      </c>
      <c r="O36" s="212" t="str">
        <f t="array" ref="O36">IF(OR($B36="",$D36="",$F36=""),"",(INDEX('Ffactorau Allyriadau'!$K$3:$V$379,MATCH($B36&amp;$C36,'Ffactorau Allyriadau'!$K$3:$K$379&amp;'Ffactorau Allyriadau'!$L$3:$L$379,0),MATCH(O$7,'Ffactorau Allyriadau'!$K$2:$V$2,0)))*$F36)</f>
        <v/>
      </c>
      <c r="P36" s="219"/>
      <c r="Q36" s="54"/>
      <c r="U36" s="1"/>
      <c r="V36" s="1"/>
      <c r="W36" s="1"/>
    </row>
    <row r="37" spans="2:23" ht="15" thickBot="1" x14ac:dyDescent="0.4">
      <c r="B37" s="126"/>
      <c r="C37" s="123"/>
      <c r="D37" s="120"/>
      <c r="E37" s="123"/>
      <c r="F37" s="32" t="str">
        <f t="array" ref="F37">IF(OR($B37="",$C37="",E37=""),"",IF(E37=G37,D37,(INDEX('Ffactorau Allyriadau'!$K$3:$V$379,MATCH($B37&amp;$C37,'Ffactorau Allyriadau'!$K$3:$K$379&amp;'Ffactorau Allyriadau'!$L$3:$L$379,0),MATCH($F$7,'Ffactorau Allyriadau'!$K$2:$V$2,0)))*D37))</f>
        <v/>
      </c>
      <c r="G37" s="29" t="str">
        <f t="array" ref="G37">IF(OR($B37="",$D37="",OrganisationalWasteTable[[#This Row],[Units]]=""),"",INDEX('Ffactorau Allyriadau'!$K$3:$V$379,MATCH($B37&amp;$C37,'Ffactorau Allyriadau'!$K$3:$K$379&amp;'Ffactorau Allyriadau'!$L$3:$L$379,0),MATCH($G$7,'Ffactorau Allyriadau'!$K$2:$V$2,0)))</f>
        <v/>
      </c>
      <c r="H37" s="228" t="str">
        <f t="array" ref="H37">IF(OR(B37="",C37="",OrganisationalWasteTable[[#This Row],[Data]]=""),"",INDEX('Ffactorau Allyriadau'!$K$3:$V$379,MATCH($B37&amp;$C37,'Ffactorau Allyriadau'!$K$3:$K$379&amp;'Ffactorau Allyriadau'!$L$3:$L$379,0),MATCH($H$7,'Ffactorau Allyriadau'!$K$2:$V$2,0)))</f>
        <v/>
      </c>
      <c r="I37" s="32" t="str">
        <f>IF(OR(OrganisationalWasteTable[[#This Row],[Waste type]]="",OrganisationalWasteTable[[#This Row],[Converted data]]=""),"",SUM(OrganisationalWasteTable[[#This Row],[Direct]:[Indirect WTT]]))</f>
        <v/>
      </c>
      <c r="J37" s="122"/>
      <c r="K37" s="212" t="str">
        <f t="array" ref="K37">IF(OR($B37="",$D37="",$F37=""),"",(INDEX('Ffactorau Allyriadau'!$K$3:$V$379,MATCH($B37&amp;$C37,'Ffactorau Allyriadau'!$K$3:$K$379&amp;'Ffactorau Allyriadau'!$L$3:$L$379,0),MATCH(K$7,'Ffactorau Allyriadau'!$K$2:$V$2,0)))*$F37)</f>
        <v/>
      </c>
      <c r="L37" s="212" t="str">
        <f t="array" ref="L37">IF(OR($B37="",$D37="",$F37=""),"",(INDEX('Ffactorau Allyriadau'!$K$3:$V$379,MATCH($B37&amp;$C37,'Ffactorau Allyriadau'!$K$3:$K$379&amp;'Ffactorau Allyriadau'!$L$3:$L$379,0),MATCH(L$7,'Ffactorau Allyriadau'!$K$2:$V$2,0)))*$F37)</f>
        <v/>
      </c>
      <c r="M37" s="212" t="str">
        <f t="array" ref="M37">IF(OR($B37="",$D37="",$F37=""),"",(INDEX('Ffactorau Allyriadau'!$K$3:$V$379,MATCH($B37&amp;$C37,'Ffactorau Allyriadau'!$K$3:$K$379&amp;'Ffactorau Allyriadau'!$L$3:$L$379,0),MATCH(M$7,'Ffactorau Allyriadau'!$K$2:$V$2,0)))*$F37)</f>
        <v/>
      </c>
      <c r="N37" s="212" t="str">
        <f t="array" ref="N37">IF(OR($B37="",$D37="",$F37=""),"",(INDEX('Ffactorau Allyriadau'!$K$3:$V$379,MATCH($B37&amp;$C37,'Ffactorau Allyriadau'!$K$3:$K$379&amp;'Ffactorau Allyriadau'!$L$3:$L$379,0),MATCH(N$7,'Ffactorau Allyriadau'!$K$2:$V$2,0)))*$F37)</f>
        <v/>
      </c>
      <c r="O37" s="212" t="str">
        <f t="array" ref="O37">IF(OR($B37="",$D37="",$F37=""),"",(INDEX('Ffactorau Allyriadau'!$K$3:$V$379,MATCH($B37&amp;$C37,'Ffactorau Allyriadau'!$K$3:$K$379&amp;'Ffactorau Allyriadau'!$L$3:$L$379,0),MATCH(O$7,'Ffactorau Allyriadau'!$K$2:$V$2,0)))*$F37)</f>
        <v/>
      </c>
      <c r="P37" s="219"/>
      <c r="Q37" s="54"/>
      <c r="U37" s="1"/>
      <c r="V37" s="1"/>
      <c r="W37" s="1"/>
    </row>
    <row r="38" spans="2:23" ht="15" thickBot="1" x14ac:dyDescent="0.4">
      <c r="B38" s="126"/>
      <c r="C38" s="123"/>
      <c r="D38" s="120"/>
      <c r="E38" s="123"/>
      <c r="F38" s="32" t="str">
        <f t="array" ref="F38">IF(OR($B38="",$C38="",E38=""),"",IF(E38=G38,D38,(INDEX('Ffactorau Allyriadau'!$K$3:$V$379,MATCH($B38&amp;$C38,'Ffactorau Allyriadau'!$K$3:$K$379&amp;'Ffactorau Allyriadau'!$L$3:$L$379,0),MATCH($F$7,'Ffactorau Allyriadau'!$K$2:$V$2,0)))*D38))</f>
        <v/>
      </c>
      <c r="G38" s="29" t="str">
        <f t="array" ref="G38">IF(OR($B38="",$D38="",OrganisationalWasteTable[[#This Row],[Units]]=""),"",INDEX('Ffactorau Allyriadau'!$K$3:$V$379,MATCH($B38&amp;$C38,'Ffactorau Allyriadau'!$K$3:$K$379&amp;'Ffactorau Allyriadau'!$L$3:$L$379,0),MATCH($G$7,'Ffactorau Allyriadau'!$K$2:$V$2,0)))</f>
        <v/>
      </c>
      <c r="H38" s="228" t="str">
        <f t="array" ref="H38">IF(OR(B38="",C38="",OrganisationalWasteTable[[#This Row],[Data]]=""),"",INDEX('Ffactorau Allyriadau'!$K$3:$V$379,MATCH($B38&amp;$C38,'Ffactorau Allyriadau'!$K$3:$K$379&amp;'Ffactorau Allyriadau'!$L$3:$L$379,0),MATCH($H$7,'Ffactorau Allyriadau'!$K$2:$V$2,0)))</f>
        <v/>
      </c>
      <c r="I38" s="32" t="str">
        <f>IF(OR(OrganisationalWasteTable[[#This Row],[Waste type]]="",OrganisationalWasteTable[[#This Row],[Converted data]]=""),"",SUM(OrganisationalWasteTable[[#This Row],[Direct]:[Indirect WTT]]))</f>
        <v/>
      </c>
      <c r="J38" s="122"/>
      <c r="K38" s="212" t="str">
        <f t="array" ref="K38">IF(OR($B38="",$D38="",$F38=""),"",(INDEX('Ffactorau Allyriadau'!$K$3:$V$379,MATCH($B38&amp;$C38,'Ffactorau Allyriadau'!$K$3:$K$379&amp;'Ffactorau Allyriadau'!$L$3:$L$379,0),MATCH(K$7,'Ffactorau Allyriadau'!$K$2:$V$2,0)))*$F38)</f>
        <v/>
      </c>
      <c r="L38" s="212" t="str">
        <f t="array" ref="L38">IF(OR($B38="",$D38="",$F38=""),"",(INDEX('Ffactorau Allyriadau'!$K$3:$V$379,MATCH($B38&amp;$C38,'Ffactorau Allyriadau'!$K$3:$K$379&amp;'Ffactorau Allyriadau'!$L$3:$L$379,0),MATCH(L$7,'Ffactorau Allyriadau'!$K$2:$V$2,0)))*$F38)</f>
        <v/>
      </c>
      <c r="M38" s="212" t="str">
        <f t="array" ref="M38">IF(OR($B38="",$D38="",$F38=""),"",(INDEX('Ffactorau Allyriadau'!$K$3:$V$379,MATCH($B38&amp;$C38,'Ffactorau Allyriadau'!$K$3:$K$379&amp;'Ffactorau Allyriadau'!$L$3:$L$379,0),MATCH(M$7,'Ffactorau Allyriadau'!$K$2:$V$2,0)))*$F38)</f>
        <v/>
      </c>
      <c r="N38" s="212" t="str">
        <f t="array" ref="N38">IF(OR($B38="",$D38="",$F38=""),"",(INDEX('Ffactorau Allyriadau'!$K$3:$V$379,MATCH($B38&amp;$C38,'Ffactorau Allyriadau'!$K$3:$K$379&amp;'Ffactorau Allyriadau'!$L$3:$L$379,0),MATCH(N$7,'Ffactorau Allyriadau'!$K$2:$V$2,0)))*$F38)</f>
        <v/>
      </c>
      <c r="O38" s="212" t="str">
        <f t="array" ref="O38">IF(OR($B38="",$D38="",$F38=""),"",(INDEX('Ffactorau Allyriadau'!$K$3:$V$379,MATCH($B38&amp;$C38,'Ffactorau Allyriadau'!$K$3:$K$379&amp;'Ffactorau Allyriadau'!$L$3:$L$379,0),MATCH(O$7,'Ffactorau Allyriadau'!$K$2:$V$2,0)))*$F38)</f>
        <v/>
      </c>
      <c r="P38" s="219"/>
      <c r="Q38" s="54"/>
      <c r="U38" s="1"/>
      <c r="V38" s="1"/>
      <c r="W38" s="1"/>
    </row>
    <row r="39" spans="2:23" ht="15" thickBot="1" x14ac:dyDescent="0.4">
      <c r="B39" s="126"/>
      <c r="C39" s="123"/>
      <c r="D39" s="120"/>
      <c r="E39" s="123"/>
      <c r="F39" s="32" t="str">
        <f t="array" ref="F39">IF(OR($B39="",$C39="",E39=""),"",IF(E39=G39,D39,(INDEX('Ffactorau Allyriadau'!$K$3:$V$379,MATCH($B39&amp;$C39,'Ffactorau Allyriadau'!$K$3:$K$379&amp;'Ffactorau Allyriadau'!$L$3:$L$379,0),MATCH($F$7,'Ffactorau Allyriadau'!$K$2:$V$2,0)))*D39))</f>
        <v/>
      </c>
      <c r="G39" s="29" t="str">
        <f t="array" ref="G39">IF(OR($B39="",$D39="",OrganisationalWasteTable[[#This Row],[Units]]=""),"",INDEX('Ffactorau Allyriadau'!$K$3:$V$379,MATCH($B39&amp;$C39,'Ffactorau Allyriadau'!$K$3:$K$379&amp;'Ffactorau Allyriadau'!$L$3:$L$379,0),MATCH($G$7,'Ffactorau Allyriadau'!$K$2:$V$2,0)))</f>
        <v/>
      </c>
      <c r="H39" s="228" t="str">
        <f t="array" ref="H39">IF(OR(B39="",C39="",OrganisationalWasteTable[[#This Row],[Data]]=""),"",INDEX('Ffactorau Allyriadau'!$K$3:$V$379,MATCH($B39&amp;$C39,'Ffactorau Allyriadau'!$K$3:$K$379&amp;'Ffactorau Allyriadau'!$L$3:$L$379,0),MATCH($H$7,'Ffactorau Allyriadau'!$K$2:$V$2,0)))</f>
        <v/>
      </c>
      <c r="I39" s="32" t="str">
        <f>IF(OR(OrganisationalWasteTable[[#This Row],[Waste type]]="",OrganisationalWasteTable[[#This Row],[Converted data]]=""),"",SUM(OrganisationalWasteTable[[#This Row],[Direct]:[Indirect WTT]]))</f>
        <v/>
      </c>
      <c r="J39" s="122"/>
      <c r="K39" s="212" t="str">
        <f t="array" ref="K39">IF(OR($B39="",$D39="",$F39=""),"",(INDEX('Ffactorau Allyriadau'!$K$3:$V$379,MATCH($B39&amp;$C39,'Ffactorau Allyriadau'!$K$3:$K$379&amp;'Ffactorau Allyriadau'!$L$3:$L$379,0),MATCH(K$7,'Ffactorau Allyriadau'!$K$2:$V$2,0)))*$F39)</f>
        <v/>
      </c>
      <c r="L39" s="212" t="str">
        <f t="array" ref="L39">IF(OR($B39="",$D39="",$F39=""),"",(INDEX('Ffactorau Allyriadau'!$K$3:$V$379,MATCH($B39&amp;$C39,'Ffactorau Allyriadau'!$K$3:$K$379&amp;'Ffactorau Allyriadau'!$L$3:$L$379,0),MATCH(L$7,'Ffactorau Allyriadau'!$K$2:$V$2,0)))*$F39)</f>
        <v/>
      </c>
      <c r="M39" s="212" t="str">
        <f t="array" ref="M39">IF(OR($B39="",$D39="",$F39=""),"",(INDEX('Ffactorau Allyriadau'!$K$3:$V$379,MATCH($B39&amp;$C39,'Ffactorau Allyriadau'!$K$3:$K$379&amp;'Ffactorau Allyriadau'!$L$3:$L$379,0),MATCH(M$7,'Ffactorau Allyriadau'!$K$2:$V$2,0)))*$F39)</f>
        <v/>
      </c>
      <c r="N39" s="212" t="str">
        <f t="array" ref="N39">IF(OR($B39="",$D39="",$F39=""),"",(INDEX('Ffactorau Allyriadau'!$K$3:$V$379,MATCH($B39&amp;$C39,'Ffactorau Allyriadau'!$K$3:$K$379&amp;'Ffactorau Allyriadau'!$L$3:$L$379,0),MATCH(N$7,'Ffactorau Allyriadau'!$K$2:$V$2,0)))*$F39)</f>
        <v/>
      </c>
      <c r="O39" s="212" t="str">
        <f t="array" ref="O39">IF(OR($B39="",$D39="",$F39=""),"",(INDEX('Ffactorau Allyriadau'!$K$3:$V$379,MATCH($B39&amp;$C39,'Ffactorau Allyriadau'!$K$3:$K$379&amp;'Ffactorau Allyriadau'!$L$3:$L$379,0),MATCH(O$7,'Ffactorau Allyriadau'!$K$2:$V$2,0)))*$F39)</f>
        <v/>
      </c>
      <c r="P39" s="219"/>
      <c r="Q39" s="54"/>
      <c r="U39" s="1"/>
      <c r="V39" s="1"/>
      <c r="W39" s="1"/>
    </row>
    <row r="40" spans="2:23" ht="15" thickBot="1" x14ac:dyDescent="0.4">
      <c r="B40" s="126"/>
      <c r="C40" s="123"/>
      <c r="D40" s="120"/>
      <c r="E40" s="123"/>
      <c r="F40" s="32" t="str">
        <f t="array" ref="F40">IF(OR($B40="",$C40="",E40=""),"",IF(E40=G40,D40,(INDEX('Ffactorau Allyriadau'!$K$3:$V$379,MATCH($B40&amp;$C40,'Ffactorau Allyriadau'!$K$3:$K$379&amp;'Ffactorau Allyriadau'!$L$3:$L$379,0),MATCH($F$7,'Ffactorau Allyriadau'!$K$2:$V$2,0)))*D40))</f>
        <v/>
      </c>
      <c r="G40" s="29" t="str">
        <f t="array" ref="G40">IF(OR($B40="",$D40="",OrganisationalWasteTable[[#This Row],[Units]]=""),"",INDEX('Ffactorau Allyriadau'!$K$3:$V$379,MATCH($B40&amp;$C40,'Ffactorau Allyriadau'!$K$3:$K$379&amp;'Ffactorau Allyriadau'!$L$3:$L$379,0),MATCH($G$7,'Ffactorau Allyriadau'!$K$2:$V$2,0)))</f>
        <v/>
      </c>
      <c r="H40" s="228" t="str">
        <f t="array" ref="H40">IF(OR(B40="",C40="",OrganisationalWasteTable[[#This Row],[Data]]=""),"",INDEX('Ffactorau Allyriadau'!$K$3:$V$379,MATCH($B40&amp;$C40,'Ffactorau Allyriadau'!$K$3:$K$379&amp;'Ffactorau Allyriadau'!$L$3:$L$379,0),MATCH($H$7,'Ffactorau Allyriadau'!$K$2:$V$2,0)))</f>
        <v/>
      </c>
      <c r="I40" s="32" t="str">
        <f>IF(OR(OrganisationalWasteTable[[#This Row],[Waste type]]="",OrganisationalWasteTable[[#This Row],[Converted data]]=""),"",SUM(OrganisationalWasteTable[[#This Row],[Direct]:[Indirect WTT]]))</f>
        <v/>
      </c>
      <c r="J40" s="122"/>
      <c r="K40" s="212" t="str">
        <f t="array" ref="K40">IF(OR($B40="",$D40="",$F40=""),"",(INDEX('Ffactorau Allyriadau'!$K$3:$V$379,MATCH($B40&amp;$C40,'Ffactorau Allyriadau'!$K$3:$K$379&amp;'Ffactorau Allyriadau'!$L$3:$L$379,0),MATCH(K$7,'Ffactorau Allyriadau'!$K$2:$V$2,0)))*$F40)</f>
        <v/>
      </c>
      <c r="L40" s="212" t="str">
        <f t="array" ref="L40">IF(OR($B40="",$D40="",$F40=""),"",(INDEX('Ffactorau Allyriadau'!$K$3:$V$379,MATCH($B40&amp;$C40,'Ffactorau Allyriadau'!$K$3:$K$379&amp;'Ffactorau Allyriadau'!$L$3:$L$379,0),MATCH(L$7,'Ffactorau Allyriadau'!$K$2:$V$2,0)))*$F40)</f>
        <v/>
      </c>
      <c r="M40" s="212" t="str">
        <f t="array" ref="M40">IF(OR($B40="",$D40="",$F40=""),"",(INDEX('Ffactorau Allyriadau'!$K$3:$V$379,MATCH($B40&amp;$C40,'Ffactorau Allyriadau'!$K$3:$K$379&amp;'Ffactorau Allyriadau'!$L$3:$L$379,0),MATCH(M$7,'Ffactorau Allyriadau'!$K$2:$V$2,0)))*$F40)</f>
        <v/>
      </c>
      <c r="N40" s="212" t="str">
        <f t="array" ref="N40">IF(OR($B40="",$D40="",$F40=""),"",(INDEX('Ffactorau Allyriadau'!$K$3:$V$379,MATCH($B40&amp;$C40,'Ffactorau Allyriadau'!$K$3:$K$379&amp;'Ffactorau Allyriadau'!$L$3:$L$379,0),MATCH(N$7,'Ffactorau Allyriadau'!$K$2:$V$2,0)))*$F40)</f>
        <v/>
      </c>
      <c r="O40" s="212" t="str">
        <f t="array" ref="O40">IF(OR($B40="",$D40="",$F40=""),"",(INDEX('Ffactorau Allyriadau'!$K$3:$V$379,MATCH($B40&amp;$C40,'Ffactorau Allyriadau'!$K$3:$K$379&amp;'Ffactorau Allyriadau'!$L$3:$L$379,0),MATCH(O$7,'Ffactorau Allyriadau'!$K$2:$V$2,0)))*$F40)</f>
        <v/>
      </c>
      <c r="P40" s="219"/>
      <c r="Q40" s="54"/>
      <c r="U40" s="1"/>
      <c r="V40" s="1"/>
      <c r="W40" s="1"/>
    </row>
    <row r="41" spans="2:23" ht="15" thickBot="1" x14ac:dyDescent="0.4">
      <c r="B41" s="126"/>
      <c r="C41" s="123"/>
      <c r="D41" s="120"/>
      <c r="E41" s="123"/>
      <c r="F41" s="32" t="str">
        <f t="array" ref="F41">IF(OR($B41="",$C41="",E41=""),"",IF(E41=G41,D41,(INDEX('Ffactorau Allyriadau'!$K$3:$V$379,MATCH($B41&amp;$C41,'Ffactorau Allyriadau'!$K$3:$K$379&amp;'Ffactorau Allyriadau'!$L$3:$L$379,0),MATCH($F$7,'Ffactorau Allyriadau'!$K$2:$V$2,0)))*D41))</f>
        <v/>
      </c>
      <c r="G41" s="29" t="str">
        <f t="array" ref="G41">IF(OR($B41="",$D41="",OrganisationalWasteTable[[#This Row],[Units]]=""),"",INDEX('Ffactorau Allyriadau'!$K$3:$V$379,MATCH($B41&amp;$C41,'Ffactorau Allyriadau'!$K$3:$K$379&amp;'Ffactorau Allyriadau'!$L$3:$L$379,0),MATCH($G$7,'Ffactorau Allyriadau'!$K$2:$V$2,0)))</f>
        <v/>
      </c>
      <c r="H41" s="228" t="str">
        <f t="array" ref="H41">IF(OR(B41="",C41="",OrganisationalWasteTable[[#This Row],[Data]]=""),"",INDEX('Ffactorau Allyriadau'!$K$3:$V$379,MATCH($B41&amp;$C41,'Ffactorau Allyriadau'!$K$3:$K$379&amp;'Ffactorau Allyriadau'!$L$3:$L$379,0),MATCH($H$7,'Ffactorau Allyriadau'!$K$2:$V$2,0)))</f>
        <v/>
      </c>
      <c r="I41" s="32" t="str">
        <f>IF(OR(OrganisationalWasteTable[[#This Row],[Waste type]]="",OrganisationalWasteTable[[#This Row],[Converted data]]=""),"",SUM(OrganisationalWasteTable[[#This Row],[Direct]:[Indirect WTT]]))</f>
        <v/>
      </c>
      <c r="J41" s="122"/>
      <c r="K41" s="212" t="str">
        <f t="array" ref="K41">IF(OR($B41="",$D41="",$F41=""),"",(INDEX('Ffactorau Allyriadau'!$K$3:$V$379,MATCH($B41&amp;$C41,'Ffactorau Allyriadau'!$K$3:$K$379&amp;'Ffactorau Allyriadau'!$L$3:$L$379,0),MATCH(K$7,'Ffactorau Allyriadau'!$K$2:$V$2,0)))*$F41)</f>
        <v/>
      </c>
      <c r="L41" s="212" t="str">
        <f t="array" ref="L41">IF(OR($B41="",$D41="",$F41=""),"",(INDEX('Ffactorau Allyriadau'!$K$3:$V$379,MATCH($B41&amp;$C41,'Ffactorau Allyriadau'!$K$3:$K$379&amp;'Ffactorau Allyriadau'!$L$3:$L$379,0),MATCH(L$7,'Ffactorau Allyriadau'!$K$2:$V$2,0)))*$F41)</f>
        <v/>
      </c>
      <c r="M41" s="212" t="str">
        <f t="array" ref="M41">IF(OR($B41="",$D41="",$F41=""),"",(INDEX('Ffactorau Allyriadau'!$K$3:$V$379,MATCH($B41&amp;$C41,'Ffactorau Allyriadau'!$K$3:$K$379&amp;'Ffactorau Allyriadau'!$L$3:$L$379,0),MATCH(M$7,'Ffactorau Allyriadau'!$K$2:$V$2,0)))*$F41)</f>
        <v/>
      </c>
      <c r="N41" s="212" t="str">
        <f t="array" ref="N41">IF(OR($B41="",$D41="",$F41=""),"",(INDEX('Ffactorau Allyriadau'!$K$3:$V$379,MATCH($B41&amp;$C41,'Ffactorau Allyriadau'!$K$3:$K$379&amp;'Ffactorau Allyriadau'!$L$3:$L$379,0),MATCH(N$7,'Ffactorau Allyriadau'!$K$2:$V$2,0)))*$F41)</f>
        <v/>
      </c>
      <c r="O41" s="212" t="str">
        <f t="array" ref="O41">IF(OR($B41="",$D41="",$F41=""),"",(INDEX('Ffactorau Allyriadau'!$K$3:$V$379,MATCH($B41&amp;$C41,'Ffactorau Allyriadau'!$K$3:$K$379&amp;'Ffactorau Allyriadau'!$L$3:$L$379,0),MATCH(O$7,'Ffactorau Allyriadau'!$K$2:$V$2,0)))*$F41)</f>
        <v/>
      </c>
      <c r="P41" s="219"/>
      <c r="Q41" s="54"/>
      <c r="U41" s="1"/>
      <c r="V41" s="1"/>
      <c r="W41" s="1"/>
    </row>
    <row r="42" spans="2:23" ht="15" thickBot="1" x14ac:dyDescent="0.4">
      <c r="B42" s="126"/>
      <c r="C42" s="123"/>
      <c r="D42" s="120"/>
      <c r="E42" s="123"/>
      <c r="F42" s="32" t="str">
        <f t="array" ref="F42">IF(OR($B42="",$C42="",E42=""),"",IF(E42=G42,D42,(INDEX('Ffactorau Allyriadau'!$K$3:$V$379,MATCH($B42&amp;$C42,'Ffactorau Allyriadau'!$K$3:$K$379&amp;'Ffactorau Allyriadau'!$L$3:$L$379,0),MATCH($F$7,'Ffactorau Allyriadau'!$K$2:$V$2,0)))*D42))</f>
        <v/>
      </c>
      <c r="G42" s="29" t="str">
        <f t="array" ref="G42">IF(OR($B42="",$D42="",OrganisationalWasteTable[[#This Row],[Units]]=""),"",INDEX('Ffactorau Allyriadau'!$K$3:$V$379,MATCH($B42&amp;$C42,'Ffactorau Allyriadau'!$K$3:$K$379&amp;'Ffactorau Allyriadau'!$L$3:$L$379,0),MATCH($G$7,'Ffactorau Allyriadau'!$K$2:$V$2,0)))</f>
        <v/>
      </c>
      <c r="H42" s="228" t="str">
        <f t="array" ref="H42">IF(OR(B42="",C42="",OrganisationalWasteTable[[#This Row],[Data]]=""),"",INDEX('Ffactorau Allyriadau'!$K$3:$V$379,MATCH($B42&amp;$C42,'Ffactorau Allyriadau'!$K$3:$K$379&amp;'Ffactorau Allyriadau'!$L$3:$L$379,0),MATCH($H$7,'Ffactorau Allyriadau'!$K$2:$V$2,0)))</f>
        <v/>
      </c>
      <c r="I42" s="32" t="str">
        <f>IF(OR(OrganisationalWasteTable[[#This Row],[Waste type]]="",OrganisationalWasteTable[[#This Row],[Converted data]]=""),"",SUM(OrganisationalWasteTable[[#This Row],[Direct]:[Indirect WTT]]))</f>
        <v/>
      </c>
      <c r="J42" s="122"/>
      <c r="K42" s="212" t="str">
        <f t="array" ref="K42">IF(OR($B42="",$D42="",$F42=""),"",(INDEX('Ffactorau Allyriadau'!$K$3:$V$379,MATCH($B42&amp;$C42,'Ffactorau Allyriadau'!$K$3:$K$379&amp;'Ffactorau Allyriadau'!$L$3:$L$379,0),MATCH(K$7,'Ffactorau Allyriadau'!$K$2:$V$2,0)))*$F42)</f>
        <v/>
      </c>
      <c r="L42" s="212" t="str">
        <f t="array" ref="L42">IF(OR($B42="",$D42="",$F42=""),"",(INDEX('Ffactorau Allyriadau'!$K$3:$V$379,MATCH($B42&amp;$C42,'Ffactorau Allyriadau'!$K$3:$K$379&amp;'Ffactorau Allyriadau'!$L$3:$L$379,0),MATCH(L$7,'Ffactorau Allyriadau'!$K$2:$V$2,0)))*$F42)</f>
        <v/>
      </c>
      <c r="M42" s="212" t="str">
        <f t="array" ref="M42">IF(OR($B42="",$D42="",$F42=""),"",(INDEX('Ffactorau Allyriadau'!$K$3:$V$379,MATCH($B42&amp;$C42,'Ffactorau Allyriadau'!$K$3:$K$379&amp;'Ffactorau Allyriadau'!$L$3:$L$379,0),MATCH(M$7,'Ffactorau Allyriadau'!$K$2:$V$2,0)))*$F42)</f>
        <v/>
      </c>
      <c r="N42" s="212" t="str">
        <f t="array" ref="N42">IF(OR($B42="",$D42="",$F42=""),"",(INDEX('Ffactorau Allyriadau'!$K$3:$V$379,MATCH($B42&amp;$C42,'Ffactorau Allyriadau'!$K$3:$K$379&amp;'Ffactorau Allyriadau'!$L$3:$L$379,0),MATCH(N$7,'Ffactorau Allyriadau'!$K$2:$V$2,0)))*$F42)</f>
        <v/>
      </c>
      <c r="O42" s="212" t="str">
        <f t="array" ref="O42">IF(OR($B42="",$D42="",$F42=""),"",(INDEX('Ffactorau Allyriadau'!$K$3:$V$379,MATCH($B42&amp;$C42,'Ffactorau Allyriadau'!$K$3:$K$379&amp;'Ffactorau Allyriadau'!$L$3:$L$379,0),MATCH(O$7,'Ffactorau Allyriadau'!$K$2:$V$2,0)))*$F42)</f>
        <v/>
      </c>
      <c r="P42" s="219"/>
      <c r="Q42" s="54"/>
      <c r="U42" s="1"/>
      <c r="V42" s="1"/>
      <c r="W42" s="1"/>
    </row>
    <row r="43" spans="2:23" ht="15" thickBot="1" x14ac:dyDescent="0.4">
      <c r="B43" s="126"/>
      <c r="C43" s="123"/>
      <c r="D43" s="120"/>
      <c r="E43" s="123"/>
      <c r="F43" s="32" t="str">
        <f t="array" ref="F43">IF(OR($B43="",$C43="",E43=""),"",IF(E43=G43,D43,(INDEX('Ffactorau Allyriadau'!$K$3:$V$379,MATCH($B43&amp;$C43,'Ffactorau Allyriadau'!$K$3:$K$379&amp;'Ffactorau Allyriadau'!$L$3:$L$379,0),MATCH($F$7,'Ffactorau Allyriadau'!$K$2:$V$2,0)))*D43))</f>
        <v/>
      </c>
      <c r="G43" s="29" t="str">
        <f t="array" ref="G43">IF(OR($B43="",$D43="",OrganisationalWasteTable[[#This Row],[Units]]=""),"",INDEX('Ffactorau Allyriadau'!$K$3:$V$379,MATCH($B43&amp;$C43,'Ffactorau Allyriadau'!$K$3:$K$379&amp;'Ffactorau Allyriadau'!$L$3:$L$379,0),MATCH($G$7,'Ffactorau Allyriadau'!$K$2:$V$2,0)))</f>
        <v/>
      </c>
      <c r="H43" s="228" t="str">
        <f t="array" ref="H43">IF(OR(B43="",C43="",OrganisationalWasteTable[[#This Row],[Data]]=""),"",INDEX('Ffactorau Allyriadau'!$K$3:$V$379,MATCH($B43&amp;$C43,'Ffactorau Allyriadau'!$K$3:$K$379&amp;'Ffactorau Allyriadau'!$L$3:$L$379,0),MATCH($H$7,'Ffactorau Allyriadau'!$K$2:$V$2,0)))</f>
        <v/>
      </c>
      <c r="I43" s="32" t="str">
        <f>IF(OR(OrganisationalWasteTable[[#This Row],[Waste type]]="",OrganisationalWasteTable[[#This Row],[Converted data]]=""),"",SUM(OrganisationalWasteTable[[#This Row],[Direct]:[Indirect WTT]]))</f>
        <v/>
      </c>
      <c r="J43" s="122"/>
      <c r="K43" s="212" t="str">
        <f t="array" ref="K43">IF(OR($B43="",$D43="",$F43=""),"",(INDEX('Ffactorau Allyriadau'!$K$3:$V$379,MATCH($B43&amp;$C43,'Ffactorau Allyriadau'!$K$3:$K$379&amp;'Ffactorau Allyriadau'!$L$3:$L$379,0),MATCH(K$7,'Ffactorau Allyriadau'!$K$2:$V$2,0)))*$F43)</f>
        <v/>
      </c>
      <c r="L43" s="212" t="str">
        <f t="array" ref="L43">IF(OR($B43="",$D43="",$F43=""),"",(INDEX('Ffactorau Allyriadau'!$K$3:$V$379,MATCH($B43&amp;$C43,'Ffactorau Allyriadau'!$K$3:$K$379&amp;'Ffactorau Allyriadau'!$L$3:$L$379,0),MATCH(L$7,'Ffactorau Allyriadau'!$K$2:$V$2,0)))*$F43)</f>
        <v/>
      </c>
      <c r="M43" s="212" t="str">
        <f t="array" ref="M43">IF(OR($B43="",$D43="",$F43=""),"",(INDEX('Ffactorau Allyriadau'!$K$3:$V$379,MATCH($B43&amp;$C43,'Ffactorau Allyriadau'!$K$3:$K$379&amp;'Ffactorau Allyriadau'!$L$3:$L$379,0),MATCH(M$7,'Ffactorau Allyriadau'!$K$2:$V$2,0)))*$F43)</f>
        <v/>
      </c>
      <c r="N43" s="212" t="str">
        <f t="array" ref="N43">IF(OR($B43="",$D43="",$F43=""),"",(INDEX('Ffactorau Allyriadau'!$K$3:$V$379,MATCH($B43&amp;$C43,'Ffactorau Allyriadau'!$K$3:$K$379&amp;'Ffactorau Allyriadau'!$L$3:$L$379,0),MATCH(N$7,'Ffactorau Allyriadau'!$K$2:$V$2,0)))*$F43)</f>
        <v/>
      </c>
      <c r="O43" s="212" t="str">
        <f t="array" ref="O43">IF(OR($B43="",$D43="",$F43=""),"",(INDEX('Ffactorau Allyriadau'!$K$3:$V$379,MATCH($B43&amp;$C43,'Ffactorau Allyriadau'!$K$3:$K$379&amp;'Ffactorau Allyriadau'!$L$3:$L$379,0),MATCH(O$7,'Ffactorau Allyriadau'!$K$2:$V$2,0)))*$F43)</f>
        <v/>
      </c>
      <c r="P43" s="219"/>
      <c r="Q43" s="54"/>
      <c r="U43" s="1"/>
      <c r="V43" s="1"/>
      <c r="W43" s="1"/>
    </row>
    <row r="44" spans="2:23" ht="15" thickBot="1" x14ac:dyDescent="0.4">
      <c r="B44" s="126"/>
      <c r="C44" s="123"/>
      <c r="D44" s="120"/>
      <c r="E44" s="123"/>
      <c r="F44" s="32" t="str">
        <f t="array" ref="F44">IF(OR($B44="",$C44="",E44=""),"",IF(E44=G44,D44,(INDEX('Ffactorau Allyriadau'!$K$3:$V$379,MATCH($B44&amp;$C44,'Ffactorau Allyriadau'!$K$3:$K$379&amp;'Ffactorau Allyriadau'!$L$3:$L$379,0),MATCH($F$7,'Ffactorau Allyriadau'!$K$2:$V$2,0)))*D44))</f>
        <v/>
      </c>
      <c r="G44" s="29" t="str">
        <f t="array" ref="G44">IF(OR($B44="",$D44="",OrganisationalWasteTable[[#This Row],[Units]]=""),"",INDEX('Ffactorau Allyriadau'!$K$3:$V$379,MATCH($B44&amp;$C44,'Ffactorau Allyriadau'!$K$3:$K$379&amp;'Ffactorau Allyriadau'!$L$3:$L$379,0),MATCH($G$7,'Ffactorau Allyriadau'!$K$2:$V$2,0)))</f>
        <v/>
      </c>
      <c r="H44" s="228" t="str">
        <f t="array" ref="H44">IF(OR(B44="",C44="",OrganisationalWasteTable[[#This Row],[Data]]=""),"",INDEX('Ffactorau Allyriadau'!$K$3:$V$379,MATCH($B44&amp;$C44,'Ffactorau Allyriadau'!$K$3:$K$379&amp;'Ffactorau Allyriadau'!$L$3:$L$379,0),MATCH($H$7,'Ffactorau Allyriadau'!$K$2:$V$2,0)))</f>
        <v/>
      </c>
      <c r="I44" s="32" t="str">
        <f>IF(OR(OrganisationalWasteTable[[#This Row],[Waste type]]="",OrganisationalWasteTable[[#This Row],[Converted data]]=""),"",SUM(OrganisationalWasteTable[[#This Row],[Direct]:[Indirect WTT]]))</f>
        <v/>
      </c>
      <c r="J44" s="122"/>
      <c r="K44" s="212" t="str">
        <f t="array" ref="K44">IF(OR($B44="",$D44="",$F44=""),"",(INDEX('Ffactorau Allyriadau'!$K$3:$V$379,MATCH($B44&amp;$C44,'Ffactorau Allyriadau'!$K$3:$K$379&amp;'Ffactorau Allyriadau'!$L$3:$L$379,0),MATCH(K$7,'Ffactorau Allyriadau'!$K$2:$V$2,0)))*$F44)</f>
        <v/>
      </c>
      <c r="L44" s="212" t="str">
        <f t="array" ref="L44">IF(OR($B44="",$D44="",$F44=""),"",(INDEX('Ffactorau Allyriadau'!$K$3:$V$379,MATCH($B44&amp;$C44,'Ffactorau Allyriadau'!$K$3:$K$379&amp;'Ffactorau Allyriadau'!$L$3:$L$379,0),MATCH(L$7,'Ffactorau Allyriadau'!$K$2:$V$2,0)))*$F44)</f>
        <v/>
      </c>
      <c r="M44" s="212" t="str">
        <f t="array" ref="M44">IF(OR($B44="",$D44="",$F44=""),"",(INDEX('Ffactorau Allyriadau'!$K$3:$V$379,MATCH($B44&amp;$C44,'Ffactorau Allyriadau'!$K$3:$K$379&amp;'Ffactorau Allyriadau'!$L$3:$L$379,0),MATCH(M$7,'Ffactorau Allyriadau'!$K$2:$V$2,0)))*$F44)</f>
        <v/>
      </c>
      <c r="N44" s="212" t="str">
        <f t="array" ref="N44">IF(OR($B44="",$D44="",$F44=""),"",(INDEX('Ffactorau Allyriadau'!$K$3:$V$379,MATCH($B44&amp;$C44,'Ffactorau Allyriadau'!$K$3:$K$379&amp;'Ffactorau Allyriadau'!$L$3:$L$379,0),MATCH(N$7,'Ffactorau Allyriadau'!$K$2:$V$2,0)))*$F44)</f>
        <v/>
      </c>
      <c r="O44" s="212" t="str">
        <f t="array" ref="O44">IF(OR($B44="",$D44="",$F44=""),"",(INDEX('Ffactorau Allyriadau'!$K$3:$V$379,MATCH($B44&amp;$C44,'Ffactorau Allyriadau'!$K$3:$K$379&amp;'Ffactorau Allyriadau'!$L$3:$L$379,0),MATCH(O$7,'Ffactorau Allyriadau'!$K$2:$V$2,0)))*$F44)</f>
        <v/>
      </c>
      <c r="P44" s="219"/>
      <c r="Q44" s="54"/>
      <c r="U44" s="1"/>
      <c r="V44" s="1"/>
      <c r="W44" s="1"/>
    </row>
    <row r="45" spans="2:23" ht="15" thickBot="1" x14ac:dyDescent="0.4">
      <c r="B45" s="126"/>
      <c r="C45" s="123"/>
      <c r="D45" s="120"/>
      <c r="E45" s="123"/>
      <c r="F45" s="32" t="str">
        <f t="array" ref="F45">IF(OR($B45="",$C45="",E45=""),"",IF(E45=G45,D45,(INDEX('Ffactorau Allyriadau'!$K$3:$V$379,MATCH($B45&amp;$C45,'Ffactorau Allyriadau'!$K$3:$K$379&amp;'Ffactorau Allyriadau'!$L$3:$L$379,0),MATCH($F$7,'Ffactorau Allyriadau'!$K$2:$V$2,0)))*D45))</f>
        <v/>
      </c>
      <c r="G45" s="29" t="str">
        <f t="array" ref="G45">IF(OR($B45="",$D45="",OrganisationalWasteTable[[#This Row],[Units]]=""),"",INDEX('Ffactorau Allyriadau'!$K$3:$V$379,MATCH($B45&amp;$C45,'Ffactorau Allyriadau'!$K$3:$K$379&amp;'Ffactorau Allyriadau'!$L$3:$L$379,0),MATCH($G$7,'Ffactorau Allyriadau'!$K$2:$V$2,0)))</f>
        <v/>
      </c>
      <c r="H45" s="228" t="str">
        <f t="array" ref="H45">IF(OR(B45="",C45="",OrganisationalWasteTable[[#This Row],[Data]]=""),"",INDEX('Ffactorau Allyriadau'!$K$3:$V$379,MATCH($B45&amp;$C45,'Ffactorau Allyriadau'!$K$3:$K$379&amp;'Ffactorau Allyriadau'!$L$3:$L$379,0),MATCH($H$7,'Ffactorau Allyriadau'!$K$2:$V$2,0)))</f>
        <v/>
      </c>
      <c r="I45" s="32" t="str">
        <f>IF(OR(OrganisationalWasteTable[[#This Row],[Waste type]]="",OrganisationalWasteTable[[#This Row],[Converted data]]=""),"",SUM(OrganisationalWasteTable[[#This Row],[Direct]:[Indirect WTT]]))</f>
        <v/>
      </c>
      <c r="J45" s="122"/>
      <c r="K45" s="212" t="str">
        <f t="array" ref="K45">IF(OR($B45="",$D45="",$F45=""),"",(INDEX('Ffactorau Allyriadau'!$K$3:$V$379,MATCH($B45&amp;$C45,'Ffactorau Allyriadau'!$K$3:$K$379&amp;'Ffactorau Allyriadau'!$L$3:$L$379,0),MATCH(K$7,'Ffactorau Allyriadau'!$K$2:$V$2,0)))*$F45)</f>
        <v/>
      </c>
      <c r="L45" s="212" t="str">
        <f t="array" ref="L45">IF(OR($B45="",$D45="",$F45=""),"",(INDEX('Ffactorau Allyriadau'!$K$3:$V$379,MATCH($B45&amp;$C45,'Ffactorau Allyriadau'!$K$3:$K$379&amp;'Ffactorau Allyriadau'!$L$3:$L$379,0),MATCH(L$7,'Ffactorau Allyriadau'!$K$2:$V$2,0)))*$F45)</f>
        <v/>
      </c>
      <c r="M45" s="212" t="str">
        <f t="array" ref="M45">IF(OR($B45="",$D45="",$F45=""),"",(INDEX('Ffactorau Allyriadau'!$K$3:$V$379,MATCH($B45&amp;$C45,'Ffactorau Allyriadau'!$K$3:$K$379&amp;'Ffactorau Allyriadau'!$L$3:$L$379,0),MATCH(M$7,'Ffactorau Allyriadau'!$K$2:$V$2,0)))*$F45)</f>
        <v/>
      </c>
      <c r="N45" s="212" t="str">
        <f t="array" ref="N45">IF(OR($B45="",$D45="",$F45=""),"",(INDEX('Ffactorau Allyriadau'!$K$3:$V$379,MATCH($B45&amp;$C45,'Ffactorau Allyriadau'!$K$3:$K$379&amp;'Ffactorau Allyriadau'!$L$3:$L$379,0),MATCH(N$7,'Ffactorau Allyriadau'!$K$2:$V$2,0)))*$F45)</f>
        <v/>
      </c>
      <c r="O45" s="212" t="str">
        <f t="array" ref="O45">IF(OR($B45="",$D45="",$F45=""),"",(INDEX('Ffactorau Allyriadau'!$K$3:$V$379,MATCH($B45&amp;$C45,'Ffactorau Allyriadau'!$K$3:$K$379&amp;'Ffactorau Allyriadau'!$L$3:$L$379,0),MATCH(O$7,'Ffactorau Allyriadau'!$K$2:$V$2,0)))*$F45)</f>
        <v/>
      </c>
      <c r="P45" s="219"/>
      <c r="Q45" s="54"/>
      <c r="U45" s="1"/>
      <c r="V45" s="1"/>
      <c r="W45" s="1"/>
    </row>
    <row r="46" spans="2:23" ht="15" thickBot="1" x14ac:dyDescent="0.4">
      <c r="B46" s="126"/>
      <c r="C46" s="123"/>
      <c r="D46" s="120"/>
      <c r="E46" s="123"/>
      <c r="F46" s="32" t="str">
        <f t="array" ref="F46">IF(OR($B46="",$C46="",E46=""),"",IF(E46=G46,D46,(INDEX('Ffactorau Allyriadau'!$K$3:$V$379,MATCH($B46&amp;$C46,'Ffactorau Allyriadau'!$K$3:$K$379&amp;'Ffactorau Allyriadau'!$L$3:$L$379,0),MATCH($F$7,'Ffactorau Allyriadau'!$K$2:$V$2,0)))*D46))</f>
        <v/>
      </c>
      <c r="G46" s="29" t="str">
        <f t="array" ref="G46">IF(OR($B46="",$D46="",OrganisationalWasteTable[[#This Row],[Units]]=""),"",INDEX('Ffactorau Allyriadau'!$K$3:$V$379,MATCH($B46&amp;$C46,'Ffactorau Allyriadau'!$K$3:$K$379&amp;'Ffactorau Allyriadau'!$L$3:$L$379,0),MATCH($G$7,'Ffactorau Allyriadau'!$K$2:$V$2,0)))</f>
        <v/>
      </c>
      <c r="H46" s="228" t="str">
        <f t="array" ref="H46">IF(OR(B46="",C46="",OrganisationalWasteTable[[#This Row],[Data]]=""),"",INDEX('Ffactorau Allyriadau'!$K$3:$V$379,MATCH($B46&amp;$C46,'Ffactorau Allyriadau'!$K$3:$K$379&amp;'Ffactorau Allyriadau'!$L$3:$L$379,0),MATCH($H$7,'Ffactorau Allyriadau'!$K$2:$V$2,0)))</f>
        <v/>
      </c>
      <c r="I46" s="32" t="str">
        <f>IF(OR(OrganisationalWasteTable[[#This Row],[Waste type]]="",OrganisationalWasteTable[[#This Row],[Converted data]]=""),"",SUM(OrganisationalWasteTable[[#This Row],[Direct]:[Indirect WTT]]))</f>
        <v/>
      </c>
      <c r="J46" s="122"/>
      <c r="K46" s="212" t="str">
        <f t="array" ref="K46">IF(OR($B46="",$D46="",$F46=""),"",(INDEX('Ffactorau Allyriadau'!$K$3:$V$379,MATCH($B46&amp;$C46,'Ffactorau Allyriadau'!$K$3:$K$379&amp;'Ffactorau Allyriadau'!$L$3:$L$379,0),MATCH(K$7,'Ffactorau Allyriadau'!$K$2:$V$2,0)))*$F46)</f>
        <v/>
      </c>
      <c r="L46" s="212" t="str">
        <f t="array" ref="L46">IF(OR($B46="",$D46="",$F46=""),"",(INDEX('Ffactorau Allyriadau'!$K$3:$V$379,MATCH($B46&amp;$C46,'Ffactorau Allyriadau'!$K$3:$K$379&amp;'Ffactorau Allyriadau'!$L$3:$L$379,0),MATCH(L$7,'Ffactorau Allyriadau'!$K$2:$V$2,0)))*$F46)</f>
        <v/>
      </c>
      <c r="M46" s="212" t="str">
        <f t="array" ref="M46">IF(OR($B46="",$D46="",$F46=""),"",(INDEX('Ffactorau Allyriadau'!$K$3:$V$379,MATCH($B46&amp;$C46,'Ffactorau Allyriadau'!$K$3:$K$379&amp;'Ffactorau Allyriadau'!$L$3:$L$379,0),MATCH(M$7,'Ffactorau Allyriadau'!$K$2:$V$2,0)))*$F46)</f>
        <v/>
      </c>
      <c r="N46" s="212" t="str">
        <f t="array" ref="N46">IF(OR($B46="",$D46="",$F46=""),"",(INDEX('Ffactorau Allyriadau'!$K$3:$V$379,MATCH($B46&amp;$C46,'Ffactorau Allyriadau'!$K$3:$K$379&amp;'Ffactorau Allyriadau'!$L$3:$L$379,0),MATCH(N$7,'Ffactorau Allyriadau'!$K$2:$V$2,0)))*$F46)</f>
        <v/>
      </c>
      <c r="O46" s="212" t="str">
        <f t="array" ref="O46">IF(OR($B46="",$D46="",$F46=""),"",(INDEX('Ffactorau Allyriadau'!$K$3:$V$379,MATCH($B46&amp;$C46,'Ffactorau Allyriadau'!$K$3:$K$379&amp;'Ffactorau Allyriadau'!$L$3:$L$379,0),MATCH(O$7,'Ffactorau Allyriadau'!$K$2:$V$2,0)))*$F46)</f>
        <v/>
      </c>
      <c r="P46" s="219"/>
      <c r="Q46" s="54"/>
      <c r="U46" s="1"/>
      <c r="V46" s="1"/>
      <c r="W46" s="1"/>
    </row>
    <row r="47" spans="2:23" ht="15" thickBot="1" x14ac:dyDescent="0.4">
      <c r="B47" s="126"/>
      <c r="C47" s="123"/>
      <c r="D47" s="120"/>
      <c r="E47" s="123"/>
      <c r="F47" s="32" t="str">
        <f t="array" ref="F47">IF(OR($B47="",$C47="",E47=""),"",IF(E47=G47,D47,(INDEX('Ffactorau Allyriadau'!$K$3:$V$379,MATCH($B47&amp;$C47,'Ffactorau Allyriadau'!$K$3:$K$379&amp;'Ffactorau Allyriadau'!$L$3:$L$379,0),MATCH($F$7,'Ffactorau Allyriadau'!$K$2:$V$2,0)))*D47))</f>
        <v/>
      </c>
      <c r="G47" s="29" t="str">
        <f t="array" ref="G47">IF(OR($B47="",$D47="",OrganisationalWasteTable[[#This Row],[Units]]=""),"",INDEX('Ffactorau Allyriadau'!$K$3:$V$379,MATCH($B47&amp;$C47,'Ffactorau Allyriadau'!$K$3:$K$379&amp;'Ffactorau Allyriadau'!$L$3:$L$379,0),MATCH($G$7,'Ffactorau Allyriadau'!$K$2:$V$2,0)))</f>
        <v/>
      </c>
      <c r="H47" s="228" t="str">
        <f t="array" ref="H47">IF(OR(B47="",C47="",OrganisationalWasteTable[[#This Row],[Data]]=""),"",INDEX('Ffactorau Allyriadau'!$K$3:$V$379,MATCH($B47&amp;$C47,'Ffactorau Allyriadau'!$K$3:$K$379&amp;'Ffactorau Allyriadau'!$L$3:$L$379,0),MATCH($H$7,'Ffactorau Allyriadau'!$K$2:$V$2,0)))</f>
        <v/>
      </c>
      <c r="I47" s="32" t="str">
        <f>IF(OR(OrganisationalWasteTable[[#This Row],[Waste type]]="",OrganisationalWasteTable[[#This Row],[Converted data]]=""),"",SUM(OrganisationalWasteTable[[#This Row],[Direct]:[Indirect WTT]]))</f>
        <v/>
      </c>
      <c r="J47" s="122"/>
      <c r="K47" s="212" t="str">
        <f t="array" ref="K47">IF(OR($B47="",$D47="",$F47=""),"",(INDEX('Ffactorau Allyriadau'!$K$3:$V$379,MATCH($B47&amp;$C47,'Ffactorau Allyriadau'!$K$3:$K$379&amp;'Ffactorau Allyriadau'!$L$3:$L$379,0),MATCH(K$7,'Ffactorau Allyriadau'!$K$2:$V$2,0)))*$F47)</f>
        <v/>
      </c>
      <c r="L47" s="212" t="str">
        <f t="array" ref="L47">IF(OR($B47="",$D47="",$F47=""),"",(INDEX('Ffactorau Allyriadau'!$K$3:$V$379,MATCH($B47&amp;$C47,'Ffactorau Allyriadau'!$K$3:$K$379&amp;'Ffactorau Allyriadau'!$L$3:$L$379,0),MATCH(L$7,'Ffactorau Allyriadau'!$K$2:$V$2,0)))*$F47)</f>
        <v/>
      </c>
      <c r="M47" s="212" t="str">
        <f t="array" ref="M47">IF(OR($B47="",$D47="",$F47=""),"",(INDEX('Ffactorau Allyriadau'!$K$3:$V$379,MATCH($B47&amp;$C47,'Ffactorau Allyriadau'!$K$3:$K$379&amp;'Ffactorau Allyriadau'!$L$3:$L$379,0),MATCH(M$7,'Ffactorau Allyriadau'!$K$2:$V$2,0)))*$F47)</f>
        <v/>
      </c>
      <c r="N47" s="212" t="str">
        <f t="array" ref="N47">IF(OR($B47="",$D47="",$F47=""),"",(INDEX('Ffactorau Allyriadau'!$K$3:$V$379,MATCH($B47&amp;$C47,'Ffactorau Allyriadau'!$K$3:$K$379&amp;'Ffactorau Allyriadau'!$L$3:$L$379,0),MATCH(N$7,'Ffactorau Allyriadau'!$K$2:$V$2,0)))*$F47)</f>
        <v/>
      </c>
      <c r="O47" s="212" t="str">
        <f t="array" ref="O47">IF(OR($B47="",$D47="",$F47=""),"",(INDEX('Ffactorau Allyriadau'!$K$3:$V$379,MATCH($B47&amp;$C47,'Ffactorau Allyriadau'!$K$3:$K$379&amp;'Ffactorau Allyriadau'!$L$3:$L$379,0),MATCH(O$7,'Ffactorau Allyriadau'!$K$2:$V$2,0)))*$F47)</f>
        <v/>
      </c>
      <c r="P47" s="219"/>
      <c r="Q47" s="54"/>
      <c r="U47" s="1"/>
      <c r="V47" s="1"/>
      <c r="W47" s="1"/>
    </row>
    <row r="48" spans="2:23" ht="15" thickBot="1" x14ac:dyDescent="0.4">
      <c r="B48" s="126"/>
      <c r="C48" s="145"/>
      <c r="D48" s="120"/>
      <c r="E48" s="145"/>
      <c r="F48" s="32" t="str">
        <f t="array" ref="F48">IF(OR($B48="",$C48="",E48=""),"",IF(E48=G48,D48,(INDEX('Ffactorau Allyriadau'!$K$3:$V$379,MATCH($B48&amp;$C48,'Ffactorau Allyriadau'!$K$3:$K$379&amp;'Ffactorau Allyriadau'!$L$3:$L$379,0),MATCH($F$7,'Ffactorau Allyriadau'!$K$2:$V$2,0)))*D48))</f>
        <v/>
      </c>
      <c r="G48" s="29" t="str">
        <f t="array" ref="G48">IF(OR($B48="",$D48="",OrganisationalWasteTable[[#This Row],[Units]]=""),"",INDEX('Ffactorau Allyriadau'!$K$3:$V$379,MATCH($B48&amp;$C48,'Ffactorau Allyriadau'!$K$3:$K$379&amp;'Ffactorau Allyriadau'!$L$3:$L$379,0),MATCH($G$7,'Ffactorau Allyriadau'!$K$2:$V$2,0)))</f>
        <v/>
      </c>
      <c r="H48" s="29" t="str">
        <f t="array" ref="H48">IF(OR(B48="",C48="",OrganisationalWasteTable[[#This Row],[Data]]=""),"",INDEX('Ffactorau Allyriadau'!$K$3:$V$379,MATCH($B48&amp;$C48,'Ffactorau Allyriadau'!$K$3:$K$379&amp;'Ffactorau Allyriadau'!$L$3:$L$379,0),MATCH($H$7,'Ffactorau Allyriadau'!$K$2:$V$2,0)))</f>
        <v/>
      </c>
      <c r="I48" s="32" t="str">
        <f>IF(OR(OrganisationalWasteTable[[#This Row],[Waste type]]="",OrganisationalWasteTable[[#This Row],[Converted data]]=""),"",SUM(OrganisationalWasteTable[[#This Row],[Direct]:[Indirect WTT]]))</f>
        <v/>
      </c>
      <c r="J48" s="124"/>
      <c r="K48" s="212" t="str">
        <f t="array" ref="K48">IF(OR($B48="",$D48="",$F48=""),"",(INDEX('Ffactorau Allyriadau'!$K$3:$V$379,MATCH($B48&amp;$C48,'Ffactorau Allyriadau'!$K$3:$K$379&amp;'Ffactorau Allyriadau'!$L$3:$L$379,0),MATCH(K$7,'Ffactorau Allyriadau'!$K$2:$V$2,0)))*$F48)</f>
        <v/>
      </c>
      <c r="L48" s="212" t="str">
        <f t="array" ref="L48">IF(OR($B48="",$D48="",$F48=""),"",(INDEX('Ffactorau Allyriadau'!$K$3:$V$379,MATCH($B48&amp;$C48,'Ffactorau Allyriadau'!$K$3:$K$379&amp;'Ffactorau Allyriadau'!$L$3:$L$379,0),MATCH(L$7,'Ffactorau Allyriadau'!$K$2:$V$2,0)))*$F48)</f>
        <v/>
      </c>
      <c r="M48" s="212" t="str">
        <f t="array" ref="M48">IF(OR($B48="",$D48="",$F48=""),"",(INDEX('Ffactorau Allyriadau'!$K$3:$V$379,MATCH($B48&amp;$C48,'Ffactorau Allyriadau'!$K$3:$K$379&amp;'Ffactorau Allyriadau'!$L$3:$L$379,0),MATCH(M$7,'Ffactorau Allyriadau'!$K$2:$V$2,0)))*$F48)</f>
        <v/>
      </c>
      <c r="N48" s="212" t="str">
        <f t="array" ref="N48">IF(OR($B48="",$D48="",$F48=""),"",(INDEX('Ffactorau Allyriadau'!$K$3:$V$379,MATCH($B48&amp;$C48,'Ffactorau Allyriadau'!$K$3:$K$379&amp;'Ffactorau Allyriadau'!$L$3:$L$379,0),MATCH(N$7,'Ffactorau Allyriadau'!$K$2:$V$2,0)))*$F48)</f>
        <v/>
      </c>
      <c r="O48" s="212" t="str">
        <f t="array" ref="O48">IF(OR($B48="",$D48="",$F48=""),"",(INDEX('Ffactorau Allyriadau'!$K$3:$V$379,MATCH($B48&amp;$C48,'Ffactorau Allyriadau'!$K$3:$K$379&amp;'Ffactorau Allyriadau'!$L$3:$L$379,0),MATCH(O$7,'Ffactorau Allyriadau'!$K$2:$V$2,0)))*$F48)</f>
        <v/>
      </c>
      <c r="P48" s="219"/>
      <c r="Q48" s="54"/>
      <c r="U48" s="1"/>
      <c r="V48" s="1"/>
      <c r="W48" s="1"/>
    </row>
    <row r="49" spans="2:21" x14ac:dyDescent="0.35">
      <c r="N49" s="70"/>
      <c r="O49" s="70"/>
      <c r="P49" s="70"/>
      <c r="Q49" s="70"/>
      <c r="R49" s="70"/>
      <c r="S49" s="220"/>
      <c r="T49" s="222"/>
      <c r="U49" s="221"/>
    </row>
    <row r="50" spans="2:21" x14ac:dyDescent="0.35">
      <c r="T50" s="27"/>
      <c r="U50" s="198"/>
    </row>
    <row r="51" spans="2:21" x14ac:dyDescent="0.35">
      <c r="B51" s="13"/>
    </row>
  </sheetData>
  <mergeCells count="8">
    <mergeCell ref="B4:L4"/>
    <mergeCell ref="B3:L3"/>
    <mergeCell ref="Q1:R1"/>
    <mergeCell ref="Q2:R2"/>
    <mergeCell ref="N2:P2"/>
    <mergeCell ref="N1:P1"/>
    <mergeCell ref="B2:F2"/>
    <mergeCell ref="G2:K2"/>
  </mergeCells>
  <conditionalFormatting sqref="B3:B4">
    <cfRule type="expression" dxfId="12" priority="4">
      <formula>ISERROR($L3)</formula>
    </cfRule>
  </conditionalFormatting>
  <conditionalFormatting sqref="B7:C48">
    <cfRule type="expression" dxfId="11" priority="1">
      <formula>ISERROR($I7)</formula>
    </cfRule>
  </conditionalFormatting>
  <conditionalFormatting sqref="B1:E1 B5:E5 B49:E181">
    <cfRule type="expression" dxfId="10" priority="5">
      <formula>ISERROR($K1)</formula>
    </cfRule>
  </conditionalFormatting>
  <conditionalFormatting sqref="H1 H5:H6 F7:F48 H49:H1048576">
    <cfRule type="cellIs" dxfId="9" priority="6" operator="equal">
      <formula>"There is an error in this table, see highlighted row(s)"</formula>
    </cfRule>
    <cfRule type="cellIs" dxfId="8" priority="7" operator="equal">
      <formula>"No errors in this table"</formula>
    </cfRule>
  </conditionalFormatting>
  <dataValidations count="3">
    <dataValidation type="list" allowBlank="1" showInputMessage="1" showErrorMessage="1" sqref="E8:E48" xr:uid="{00000000-0002-0000-0400-000000000000}">
      <formula1>Wasteunits</formula1>
    </dataValidation>
    <dataValidation type="list" allowBlank="1" showInputMessage="1" showErrorMessage="1" sqref="C8:C48" xr:uid="{00000000-0002-0000-0400-000001000000}">
      <formula1>INDIRECT(SUBSTITUTE(B8," ",""))</formula1>
    </dataValidation>
    <dataValidation type="decimal" operator="greaterThan" allowBlank="1" showInputMessage="1" showErrorMessage="1" errorTitle="Numeric data" error="Please enter a number greater than zero" sqref="D8:D48" xr:uid="{00000000-0002-0000-0400-000002000000}">
      <formula1>0</formula1>
    </dataValidation>
  </dataValidations>
  <pageMargins left="0.7" right="0.7" top="0.75" bottom="0.75" header="0.3" footer="0.3"/>
  <pageSetup paperSize="8" scale="55" fitToHeight="0" orientation="landscape" r:id="rId1"/>
  <headerFooter alignWithMargins="0"/>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3000000}">
          <x14:formula1>
            <xm:f>Lists!$U$4:$U$16</xm:f>
          </x14:formula1>
          <xm:sqref>B8:B48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27CCF9"/>
    <pageSetUpPr fitToPage="1"/>
  </sheetPr>
  <dimension ref="A1:P87"/>
  <sheetViews>
    <sheetView topLeftCell="A4" workbookViewId="0">
      <selection activeCell="B5" sqref="B5:I5"/>
    </sheetView>
  </sheetViews>
  <sheetFormatPr defaultColWidth="8.54296875" defaultRowHeight="14.5" x14ac:dyDescent="0.35"/>
  <cols>
    <col min="1" max="1" width="2.453125" style="1" customWidth="1"/>
    <col min="2" max="2" width="28.1796875" style="1" customWidth="1"/>
    <col min="3" max="3" width="18" style="1" customWidth="1"/>
    <col min="4" max="4" width="40.1796875" style="1" customWidth="1"/>
    <col min="5" max="5" width="34.453125" style="1" customWidth="1"/>
    <col min="6" max="6" width="14.1796875" style="1" customWidth="1"/>
    <col min="7" max="7" width="19.1796875" style="1" customWidth="1"/>
    <col min="8" max="8" width="14.1796875" style="1" customWidth="1"/>
    <col min="9" max="9" width="30.1796875" style="1" customWidth="1"/>
    <col min="10" max="12" width="10.1796875" style="1" customWidth="1"/>
    <col min="13" max="13" width="10.81640625" style="1" customWidth="1"/>
    <col min="14" max="14" width="8.54296875" style="1" customWidth="1"/>
    <col min="15" max="15" width="29.81640625" style="1" customWidth="1"/>
    <col min="16" max="16" width="8.54296875" style="1" customWidth="1"/>
    <col min="17" max="17" width="10.1796875" style="1" customWidth="1"/>
    <col min="18" max="18" width="8.54296875" style="1" customWidth="1"/>
    <col min="19" max="16384" width="8.54296875" style="1"/>
  </cols>
  <sheetData>
    <row r="1" spans="2:16" ht="15" thickBot="1" x14ac:dyDescent="0.4">
      <c r="G1" s="141" t="s">
        <v>1025</v>
      </c>
      <c r="H1" s="328" t="s">
        <v>1026</v>
      </c>
      <c r="I1" s="329"/>
      <c r="J1" s="315" t="s">
        <v>1027</v>
      </c>
      <c r="K1" s="316"/>
    </row>
    <row r="2" spans="2:16" ht="19" thickBot="1" x14ac:dyDescent="0.5">
      <c r="B2" s="345" t="s">
        <v>1022</v>
      </c>
      <c r="C2" s="346"/>
      <c r="D2" s="346"/>
      <c r="E2" s="346"/>
      <c r="F2" s="347"/>
      <c r="G2" s="26"/>
      <c r="H2" s="326" t="s">
        <v>1028</v>
      </c>
      <c r="I2" s="327"/>
      <c r="J2" s="317" t="s">
        <v>1029</v>
      </c>
      <c r="K2" s="318"/>
    </row>
    <row r="3" spans="2:16" ht="64.5" customHeight="1" thickBot="1" x14ac:dyDescent="0.4">
      <c r="B3" s="335" t="s">
        <v>1052</v>
      </c>
      <c r="C3" s="336"/>
      <c r="D3" s="336"/>
      <c r="E3" s="336"/>
      <c r="F3" s="336"/>
      <c r="G3" s="336"/>
      <c r="H3" s="336"/>
      <c r="I3" s="336"/>
    </row>
    <row r="4" spans="2:16" ht="109.75" customHeight="1" x14ac:dyDescent="0.35">
      <c r="B4" s="330" t="s">
        <v>1023</v>
      </c>
      <c r="C4" s="331"/>
      <c r="D4" s="331"/>
      <c r="E4" s="331"/>
      <c r="F4" s="331"/>
      <c r="G4" s="331"/>
      <c r="H4" s="331"/>
      <c r="I4" s="332"/>
    </row>
    <row r="5" spans="2:16" ht="117" customHeight="1" x14ac:dyDescent="0.35">
      <c r="B5" s="330" t="s">
        <v>1053</v>
      </c>
      <c r="C5" s="331"/>
      <c r="D5" s="331"/>
      <c r="E5" s="331"/>
      <c r="F5" s="331"/>
      <c r="G5" s="331"/>
      <c r="H5" s="331"/>
      <c r="I5" s="332"/>
      <c r="K5" s="7"/>
      <c r="L5" s="7"/>
      <c r="M5" s="7"/>
      <c r="N5" s="7"/>
      <c r="O5" s="69"/>
    </row>
    <row r="6" spans="2:16" ht="19" thickBot="1" x14ac:dyDescent="0.4">
      <c r="B6" s="31" t="s">
        <v>109</v>
      </c>
      <c r="D6"/>
      <c r="E6"/>
      <c r="K6" s="7"/>
      <c r="L6" s="7"/>
      <c r="M6" s="174"/>
      <c r="O6" s="54"/>
      <c r="P6" s="54"/>
    </row>
    <row r="7" spans="2:16" ht="41.15" customHeight="1" thickBot="1" x14ac:dyDescent="0.4">
      <c r="B7" s="3" t="s">
        <v>110</v>
      </c>
      <c r="C7" s="205" t="s">
        <v>111</v>
      </c>
      <c r="D7" s="93" t="s">
        <v>112</v>
      </c>
      <c r="E7" s="16" t="s">
        <v>113</v>
      </c>
      <c r="F7" s="181" t="s">
        <v>777</v>
      </c>
      <c r="G7" s="180" t="s">
        <v>778</v>
      </c>
      <c r="H7" s="175" t="s">
        <v>114</v>
      </c>
      <c r="I7" s="176" t="s">
        <v>969</v>
      </c>
      <c r="J7" s="348"/>
      <c r="K7" s="349"/>
      <c r="L7" s="350"/>
      <c r="M7" s="193"/>
      <c r="N7" s="194"/>
      <c r="O7" s="65"/>
    </row>
    <row r="8" spans="2:16" ht="26.5" thickBot="1" x14ac:dyDescent="0.4">
      <c r="B8" s="84" t="s">
        <v>115</v>
      </c>
      <c r="C8" s="206" t="s">
        <v>116</v>
      </c>
      <c r="D8" s="259" t="s">
        <v>976</v>
      </c>
      <c r="E8" s="149"/>
      <c r="F8" s="202">
        <v>2.3149999999999999</v>
      </c>
      <c r="G8" s="224" t="str">
        <f t="shared" ref="G8:G48" si="0">IF(ISBLANK(E8),"",E8*F8)</f>
        <v/>
      </c>
      <c r="H8" s="147"/>
      <c r="I8"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8"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8" s="352"/>
      <c r="L8" s="353"/>
      <c r="M8" s="66"/>
      <c r="N8" s="67"/>
      <c r="O8" s="67"/>
    </row>
    <row r="9" spans="2:16" ht="33.65" customHeight="1" thickBot="1" x14ac:dyDescent="0.4">
      <c r="B9" s="84" t="s">
        <v>115</v>
      </c>
      <c r="C9" s="206" t="s">
        <v>118</v>
      </c>
      <c r="D9" s="259" t="s">
        <v>977</v>
      </c>
      <c r="E9" s="149"/>
      <c r="F9" s="202">
        <v>0.32800000000000001</v>
      </c>
      <c r="G9" s="224" t="str">
        <f t="shared" si="0"/>
        <v/>
      </c>
      <c r="H9" s="147"/>
      <c r="I9"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9"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9" s="352"/>
      <c r="L9" s="353"/>
      <c r="M9" s="66"/>
      <c r="N9" s="67"/>
      <c r="O9" s="67"/>
    </row>
    <row r="10" spans="2:16" ht="15" thickBot="1" x14ac:dyDescent="0.4">
      <c r="B10" s="84" t="s">
        <v>128</v>
      </c>
      <c r="C10" s="206">
        <v>14</v>
      </c>
      <c r="D10" s="259" t="s">
        <v>147</v>
      </c>
      <c r="E10" s="149"/>
      <c r="F10" s="202">
        <v>0.73799999999999999</v>
      </c>
      <c r="G10" s="224" t="str">
        <f t="shared" si="0"/>
        <v/>
      </c>
      <c r="H10" s="147"/>
      <c r="I10"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0"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0" s="352"/>
      <c r="L10" s="353"/>
      <c r="M10" s="66"/>
      <c r="N10" s="67"/>
      <c r="O10" s="71"/>
    </row>
    <row r="11" spans="2:16" ht="15" thickBot="1" x14ac:dyDescent="0.4">
      <c r="B11" s="84" t="s">
        <v>128</v>
      </c>
      <c r="C11" s="206">
        <v>17</v>
      </c>
      <c r="D11" s="259" t="s">
        <v>148</v>
      </c>
      <c r="E11" s="149"/>
      <c r="F11" s="202">
        <v>0.75600000000000001</v>
      </c>
      <c r="G11" s="224" t="str">
        <f t="shared" si="0"/>
        <v/>
      </c>
      <c r="H11" s="147"/>
      <c r="I11"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1"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1" s="352"/>
      <c r="L11" s="353"/>
      <c r="M11" s="66"/>
      <c r="N11" s="67"/>
    </row>
    <row r="12" spans="2:16" ht="15" thickBot="1" x14ac:dyDescent="0.4">
      <c r="B12" s="84" t="s">
        <v>128</v>
      </c>
      <c r="C12" s="206">
        <v>18</v>
      </c>
      <c r="D12" s="259" t="s">
        <v>149</v>
      </c>
      <c r="E12" s="149"/>
      <c r="F12" s="202">
        <v>0.434</v>
      </c>
      <c r="G12" s="224" t="str">
        <f t="shared" si="0"/>
        <v/>
      </c>
      <c r="H12" s="147"/>
      <c r="I12"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2"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2" s="352"/>
      <c r="L12" s="353"/>
      <c r="M12" s="66"/>
      <c r="N12" s="67"/>
    </row>
    <row r="13" spans="2:16" ht="26.5" thickBot="1" x14ac:dyDescent="0.4">
      <c r="B13" s="84" t="s">
        <v>128</v>
      </c>
      <c r="C13" s="206">
        <v>20.3</v>
      </c>
      <c r="D13" s="259" t="s">
        <v>154</v>
      </c>
      <c r="E13" s="149"/>
      <c r="F13" s="202">
        <v>1.048</v>
      </c>
      <c r="G13" s="224" t="str">
        <f t="shared" si="0"/>
        <v/>
      </c>
      <c r="H13" s="147"/>
      <c r="I13"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3"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3" s="352"/>
      <c r="L13" s="353"/>
      <c r="M13" s="66"/>
      <c r="N13" s="67"/>
    </row>
    <row r="14" spans="2:16" ht="26.5" thickBot="1" x14ac:dyDescent="0.4">
      <c r="B14" s="84" t="s">
        <v>128</v>
      </c>
      <c r="C14" s="206">
        <v>20.399999999999999</v>
      </c>
      <c r="D14" s="259" t="s">
        <v>155</v>
      </c>
      <c r="E14" s="149"/>
      <c r="F14" s="202">
        <v>0.83699999999999997</v>
      </c>
      <c r="G14" s="224" t="str">
        <f t="shared" si="0"/>
        <v/>
      </c>
      <c r="H14" s="147"/>
      <c r="I14"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4"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4" s="352"/>
      <c r="L14" s="353"/>
      <c r="M14" s="66"/>
      <c r="N14" s="67"/>
    </row>
    <row r="15" spans="2:16" ht="15" thickBot="1" x14ac:dyDescent="0.4">
      <c r="B15" s="84" t="s">
        <v>128</v>
      </c>
      <c r="C15" s="206">
        <v>20.5</v>
      </c>
      <c r="D15" s="259" t="s">
        <v>984</v>
      </c>
      <c r="E15" s="149"/>
      <c r="F15" s="202">
        <v>1.3380000000000001</v>
      </c>
      <c r="G15" s="224" t="str">
        <f t="shared" si="0"/>
        <v/>
      </c>
      <c r="H15" s="147"/>
      <c r="I15"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5"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5" s="352"/>
      <c r="L15" s="353"/>
      <c r="M15" s="66"/>
      <c r="N15" s="67"/>
    </row>
    <row r="16" spans="2:16" ht="15" thickBot="1" x14ac:dyDescent="0.4">
      <c r="B16" s="84" t="s">
        <v>128</v>
      </c>
      <c r="C16" s="206">
        <v>22</v>
      </c>
      <c r="D16" s="259" t="s">
        <v>157</v>
      </c>
      <c r="E16" s="149"/>
      <c r="F16" s="202">
        <v>0.63400000000000001</v>
      </c>
      <c r="G16" s="224" t="str">
        <f t="shared" si="0"/>
        <v/>
      </c>
      <c r="H16" s="147"/>
      <c r="I16"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6"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6" s="352"/>
      <c r="L16" s="353"/>
      <c r="M16" s="66"/>
      <c r="N16" s="67"/>
    </row>
    <row r="17" spans="2:14" ht="15" thickBot="1" x14ac:dyDescent="0.4">
      <c r="B17" s="84" t="s">
        <v>128</v>
      </c>
      <c r="C17" s="206">
        <v>26</v>
      </c>
      <c r="D17" s="259" t="s">
        <v>166</v>
      </c>
      <c r="E17" s="149"/>
      <c r="F17" s="202">
        <v>0.40400000000000003</v>
      </c>
      <c r="G17" s="224" t="str">
        <f t="shared" si="0"/>
        <v/>
      </c>
      <c r="H17" s="147"/>
      <c r="I17"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7"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7" s="352"/>
      <c r="L17" s="353"/>
      <c r="M17" s="66"/>
      <c r="N17" s="67"/>
    </row>
    <row r="18" spans="2:14" ht="15" thickBot="1" x14ac:dyDescent="0.4">
      <c r="B18" s="84" t="s">
        <v>128</v>
      </c>
      <c r="C18" s="206">
        <v>27</v>
      </c>
      <c r="D18" s="259" t="s">
        <v>167</v>
      </c>
      <c r="E18" s="149"/>
      <c r="F18" s="202">
        <v>0.438</v>
      </c>
      <c r="G18" s="224" t="str">
        <f t="shared" si="0"/>
        <v/>
      </c>
      <c r="H18" s="147"/>
      <c r="I18"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8"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8" s="352"/>
      <c r="L18" s="353"/>
      <c r="M18" s="66"/>
      <c r="N18" s="67"/>
    </row>
    <row r="19" spans="2:14" ht="15" thickBot="1" x14ac:dyDescent="0.4">
      <c r="B19" s="84" t="s">
        <v>128</v>
      </c>
      <c r="C19" s="206">
        <v>28</v>
      </c>
      <c r="D19" s="259" t="s">
        <v>168</v>
      </c>
      <c r="E19" s="149"/>
      <c r="F19" s="202">
        <v>0.44500000000000001</v>
      </c>
      <c r="G19" s="224" t="str">
        <f t="shared" si="0"/>
        <v/>
      </c>
      <c r="H19" s="147"/>
      <c r="I19"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19"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19" s="352"/>
      <c r="L19" s="353"/>
      <c r="M19" s="66"/>
      <c r="N19" s="67"/>
    </row>
    <row r="20" spans="2:14" ht="15" thickBot="1" x14ac:dyDescent="0.4">
      <c r="B20" s="84" t="s">
        <v>128</v>
      </c>
      <c r="C20" s="206">
        <v>29</v>
      </c>
      <c r="D20" s="259" t="s">
        <v>169</v>
      </c>
      <c r="E20" s="149"/>
      <c r="F20" s="202">
        <v>0.41599999999999998</v>
      </c>
      <c r="G20" s="224" t="str">
        <f t="shared" si="0"/>
        <v/>
      </c>
      <c r="H20" s="147"/>
      <c r="I20"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0"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0" s="352"/>
      <c r="L20" s="353"/>
      <c r="M20" s="66"/>
      <c r="N20" s="67"/>
    </row>
    <row r="21" spans="2:14" ht="15" thickBot="1" x14ac:dyDescent="0.4">
      <c r="B21" s="84" t="s">
        <v>128</v>
      </c>
      <c r="C21" s="206">
        <v>31</v>
      </c>
      <c r="D21" s="259" t="s">
        <v>174</v>
      </c>
      <c r="E21" s="149"/>
      <c r="F21" s="202">
        <v>0.45700000000000002</v>
      </c>
      <c r="G21" s="224" t="str">
        <f t="shared" si="0"/>
        <v/>
      </c>
      <c r="H21" s="147"/>
      <c r="I21"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1"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1" s="352"/>
      <c r="L21" s="353"/>
      <c r="M21" s="66"/>
      <c r="N21" s="67"/>
    </row>
    <row r="22" spans="2:14" ht="15" thickBot="1" x14ac:dyDescent="0.4">
      <c r="B22" s="84" t="s">
        <v>128</v>
      </c>
      <c r="C22" s="206">
        <v>32</v>
      </c>
      <c r="D22" s="259" t="s">
        <v>175</v>
      </c>
      <c r="E22" s="149"/>
      <c r="F22" s="202">
        <v>0.61699999999999999</v>
      </c>
      <c r="G22" s="224" t="str">
        <f t="shared" si="0"/>
        <v/>
      </c>
      <c r="H22" s="147"/>
      <c r="I22"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2"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2" s="352"/>
      <c r="L22" s="353"/>
      <c r="M22" s="66"/>
      <c r="N22" s="67"/>
    </row>
    <row r="23" spans="2:14" ht="26.5" thickBot="1" x14ac:dyDescent="0.4">
      <c r="B23" s="84" t="s">
        <v>180</v>
      </c>
      <c r="C23" s="206">
        <v>35.1</v>
      </c>
      <c r="D23" s="259" t="s">
        <v>181</v>
      </c>
      <c r="E23" s="201"/>
      <c r="F23" s="202">
        <v>1.95</v>
      </c>
      <c r="G23" s="224" t="str">
        <f t="shared" si="0"/>
        <v/>
      </c>
      <c r="H23" s="147"/>
      <c r="I23"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3"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3" s="352"/>
      <c r="L23" s="353"/>
      <c r="M23" s="66"/>
      <c r="N23" s="67"/>
    </row>
    <row r="24" spans="2:14" ht="26.5" thickBot="1" x14ac:dyDescent="0.4">
      <c r="B24" s="84" t="s">
        <v>180</v>
      </c>
      <c r="C24" s="206" t="s">
        <v>182</v>
      </c>
      <c r="D24" s="259" t="s">
        <v>986</v>
      </c>
      <c r="E24" s="201"/>
      <c r="F24" s="202">
        <v>1.607</v>
      </c>
      <c r="G24" s="224" t="str">
        <f t="shared" si="0"/>
        <v/>
      </c>
      <c r="H24" s="147"/>
      <c r="I24"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4"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4" s="352"/>
      <c r="L24" s="353"/>
      <c r="M24" s="66"/>
      <c r="N24" s="67"/>
    </row>
    <row r="25" spans="2:14" ht="39.5" thickBot="1" x14ac:dyDescent="0.4">
      <c r="B25" s="84" t="s">
        <v>183</v>
      </c>
      <c r="C25" s="206">
        <v>36</v>
      </c>
      <c r="D25" s="259" t="s">
        <v>184</v>
      </c>
      <c r="E25" s="201"/>
      <c r="F25" s="202">
        <v>0.29199999999999998</v>
      </c>
      <c r="G25" s="224" t="str">
        <f t="shared" si="0"/>
        <v/>
      </c>
      <c r="H25" s="147"/>
      <c r="I25"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5"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5" s="352"/>
      <c r="L25" s="353"/>
      <c r="M25" s="66"/>
      <c r="N25" s="67"/>
    </row>
    <row r="26" spans="2:14" ht="39.5" thickBot="1" x14ac:dyDescent="0.4">
      <c r="B26" s="84" t="s">
        <v>183</v>
      </c>
      <c r="C26" s="206">
        <v>37</v>
      </c>
      <c r="D26" s="259" t="s">
        <v>185</v>
      </c>
      <c r="E26" s="201"/>
      <c r="F26" s="202">
        <v>0.39700000000000002</v>
      </c>
      <c r="G26" s="224" t="str">
        <f t="shared" si="0"/>
        <v/>
      </c>
      <c r="H26" s="147"/>
      <c r="I26"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6"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6" s="352"/>
      <c r="L26" s="353"/>
      <c r="M26" s="66"/>
      <c r="N26" s="67"/>
    </row>
    <row r="27" spans="2:14" ht="39.5" thickBot="1" x14ac:dyDescent="0.4">
      <c r="B27" s="84" t="s">
        <v>183</v>
      </c>
      <c r="C27" s="206">
        <v>38</v>
      </c>
      <c r="D27" s="259" t="s">
        <v>186</v>
      </c>
      <c r="E27" s="201"/>
      <c r="F27" s="202">
        <v>1.3919999999999999</v>
      </c>
      <c r="G27" s="224" t="str">
        <f t="shared" si="0"/>
        <v/>
      </c>
      <c r="H27" s="147"/>
      <c r="I27"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7"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7" s="352"/>
      <c r="L27" s="353"/>
      <c r="M27" s="66"/>
      <c r="N27" s="67"/>
    </row>
    <row r="28" spans="2:14" ht="15" thickBot="1" x14ac:dyDescent="0.4">
      <c r="B28" s="84" t="s">
        <v>188</v>
      </c>
      <c r="C28" s="206">
        <v>41.2</v>
      </c>
      <c r="D28" s="259" t="s">
        <v>987</v>
      </c>
      <c r="E28" s="149"/>
      <c r="F28" s="202">
        <v>0.32400000000000001</v>
      </c>
      <c r="G28" s="224" t="str">
        <f t="shared" si="0"/>
        <v/>
      </c>
      <c r="H28" s="147"/>
      <c r="I28"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8"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8" s="352"/>
      <c r="L28" s="353"/>
      <c r="M28" s="66"/>
      <c r="N28" s="67"/>
    </row>
    <row r="29" spans="2:14" ht="39.5" thickBot="1" x14ac:dyDescent="0.4">
      <c r="B29" s="84" t="s">
        <v>189</v>
      </c>
      <c r="C29" s="206">
        <v>45</v>
      </c>
      <c r="D29" s="259" t="s">
        <v>190</v>
      </c>
      <c r="E29" s="149"/>
      <c r="F29" s="202">
        <v>0.29699999999999999</v>
      </c>
      <c r="G29" s="224" t="str">
        <f t="shared" si="0"/>
        <v/>
      </c>
      <c r="H29" s="147"/>
      <c r="I29"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29"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29" s="352"/>
      <c r="L29" s="353"/>
      <c r="M29" s="66"/>
      <c r="N29" s="67"/>
    </row>
    <row r="30" spans="2:14" ht="26.5" thickBot="1" x14ac:dyDescent="0.4">
      <c r="B30" s="84" t="s">
        <v>198</v>
      </c>
      <c r="C30" s="206">
        <v>55</v>
      </c>
      <c r="D30" s="259" t="s">
        <v>199</v>
      </c>
      <c r="E30" s="149"/>
      <c r="F30" s="202">
        <v>0.34100000000000003</v>
      </c>
      <c r="G30" s="224" t="str">
        <f t="shared" si="0"/>
        <v/>
      </c>
      <c r="H30" s="147"/>
      <c r="I30"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0"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0" s="352"/>
      <c r="L30" s="353"/>
      <c r="M30" s="66"/>
      <c r="N30" s="67"/>
    </row>
    <row r="31" spans="2:14" ht="26.5" thickBot="1" x14ac:dyDescent="0.4">
      <c r="B31" s="84" t="s">
        <v>198</v>
      </c>
      <c r="C31" s="206">
        <v>56</v>
      </c>
      <c r="D31" s="259" t="s">
        <v>200</v>
      </c>
      <c r="E31" s="149"/>
      <c r="F31" s="202">
        <v>0.316</v>
      </c>
      <c r="G31" s="224" t="str">
        <f t="shared" si="0"/>
        <v/>
      </c>
      <c r="H31" s="147"/>
      <c r="I31"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1"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1" s="352"/>
      <c r="L31" s="353"/>
      <c r="M31" s="66"/>
      <c r="N31" s="67"/>
    </row>
    <row r="32" spans="2:14" ht="26.5" thickBot="1" x14ac:dyDescent="0.4">
      <c r="B32" s="84" t="s">
        <v>201</v>
      </c>
      <c r="C32" s="206">
        <v>58</v>
      </c>
      <c r="D32" s="259" t="s">
        <v>202</v>
      </c>
      <c r="E32" s="149"/>
      <c r="F32" s="202">
        <v>0.10199999999999999</v>
      </c>
      <c r="G32" s="224" t="str">
        <f t="shared" si="0"/>
        <v/>
      </c>
      <c r="H32" s="147"/>
      <c r="I32"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2"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2" s="352"/>
      <c r="L32" s="353"/>
      <c r="M32" s="66"/>
      <c r="N32" s="67"/>
    </row>
    <row r="33" spans="2:14" ht="26.5" thickBot="1" x14ac:dyDescent="0.4">
      <c r="B33" s="84" t="s">
        <v>201</v>
      </c>
      <c r="C33" s="206">
        <v>61</v>
      </c>
      <c r="D33" s="259" t="s">
        <v>203</v>
      </c>
      <c r="E33" s="149"/>
      <c r="F33" s="202">
        <v>0.17299999999999999</v>
      </c>
      <c r="G33" s="224" t="str">
        <f t="shared" si="0"/>
        <v/>
      </c>
      <c r="H33" s="147"/>
      <c r="I33"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3"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3" s="352"/>
      <c r="L33" s="353"/>
      <c r="M33" s="66"/>
      <c r="N33" s="67"/>
    </row>
    <row r="34" spans="2:14" ht="26.5" thickBot="1" x14ac:dyDescent="0.4">
      <c r="B34" s="84" t="s">
        <v>201</v>
      </c>
      <c r="C34" s="206">
        <v>62</v>
      </c>
      <c r="D34" s="259" t="s">
        <v>204</v>
      </c>
      <c r="E34" s="149"/>
      <c r="F34" s="202">
        <v>0.153</v>
      </c>
      <c r="G34" s="224" t="str">
        <f t="shared" si="0"/>
        <v/>
      </c>
      <c r="H34" s="147"/>
      <c r="I34"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4"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4" s="352"/>
      <c r="L34" s="353"/>
      <c r="M34" s="66"/>
      <c r="N34" s="67"/>
    </row>
    <row r="35" spans="2:14" ht="26.5" thickBot="1" x14ac:dyDescent="0.4">
      <c r="B35" s="84" t="s">
        <v>201</v>
      </c>
      <c r="C35" s="206">
        <v>63</v>
      </c>
      <c r="D35" s="259" t="s">
        <v>205</v>
      </c>
      <c r="E35" s="149"/>
      <c r="F35" s="202">
        <v>0.2</v>
      </c>
      <c r="G35" s="224" t="str">
        <f t="shared" si="0"/>
        <v/>
      </c>
      <c r="H35" s="147"/>
      <c r="I35"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5"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5" s="352"/>
      <c r="L35" s="353"/>
      <c r="M35" s="66"/>
      <c r="N35" s="67"/>
    </row>
    <row r="36" spans="2:14" ht="26.5" thickBot="1" x14ac:dyDescent="0.4">
      <c r="B36" s="84" t="s">
        <v>206</v>
      </c>
      <c r="C36" s="206">
        <v>64</v>
      </c>
      <c r="D36" s="259" t="s">
        <v>207</v>
      </c>
      <c r="E36" s="149"/>
      <c r="F36" s="202">
        <v>0.11899999999999999</v>
      </c>
      <c r="G36" s="224" t="str">
        <f t="shared" si="0"/>
        <v/>
      </c>
      <c r="H36" s="147"/>
      <c r="I36"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6"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6" s="352"/>
      <c r="L36" s="353"/>
      <c r="M36" s="66"/>
      <c r="N36" s="67"/>
    </row>
    <row r="37" spans="2:14" ht="26.5" thickBot="1" x14ac:dyDescent="0.4">
      <c r="B37" s="84" t="s">
        <v>206</v>
      </c>
      <c r="C37" s="206" t="s">
        <v>1002</v>
      </c>
      <c r="D37" s="259" t="s">
        <v>996</v>
      </c>
      <c r="E37" s="149"/>
      <c r="F37" s="202">
        <v>8.7999999999999995E-2</v>
      </c>
      <c r="G37" s="224" t="str">
        <f t="shared" si="0"/>
        <v/>
      </c>
      <c r="H37" s="147"/>
      <c r="I37"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7"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7" s="352"/>
      <c r="L37" s="353"/>
      <c r="M37" s="66"/>
      <c r="N37" s="67"/>
    </row>
    <row r="38" spans="2:14" ht="26.5" thickBot="1" x14ac:dyDescent="0.4">
      <c r="B38" s="84" t="s">
        <v>214</v>
      </c>
      <c r="C38" s="206">
        <v>69.099999999999994</v>
      </c>
      <c r="D38" s="259" t="s">
        <v>215</v>
      </c>
      <c r="E38" s="149"/>
      <c r="F38" s="202">
        <v>6.8000000000000005E-2</v>
      </c>
      <c r="G38" s="224" t="str">
        <f t="shared" si="0"/>
        <v/>
      </c>
      <c r="H38" s="147"/>
      <c r="I38"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8"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8" s="352"/>
      <c r="L38" s="353"/>
      <c r="M38" s="66"/>
      <c r="N38" s="67"/>
    </row>
    <row r="39" spans="2:14" ht="26.5" thickBot="1" x14ac:dyDescent="0.4">
      <c r="B39" s="84" t="s">
        <v>214</v>
      </c>
      <c r="C39" s="206">
        <v>75</v>
      </c>
      <c r="D39" s="259" t="s">
        <v>222</v>
      </c>
      <c r="E39" s="149"/>
      <c r="F39" s="202">
        <v>0.107</v>
      </c>
      <c r="G39" s="224" t="str">
        <f t="shared" si="0"/>
        <v/>
      </c>
      <c r="H39" s="147"/>
      <c r="I39"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39"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39" s="352"/>
      <c r="L39" s="353"/>
      <c r="M39" s="66"/>
      <c r="N39" s="67"/>
    </row>
    <row r="40" spans="2:14" ht="26.5" thickBot="1" x14ac:dyDescent="0.4">
      <c r="B40" s="84" t="s">
        <v>223</v>
      </c>
      <c r="C40" s="206">
        <v>77</v>
      </c>
      <c r="D40" s="259" t="s">
        <v>224</v>
      </c>
      <c r="E40" s="149"/>
      <c r="F40" s="202">
        <v>0.17699999999999999</v>
      </c>
      <c r="G40" s="224" t="str">
        <f t="shared" si="0"/>
        <v/>
      </c>
      <c r="H40" s="147"/>
      <c r="I40"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0"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0" s="352"/>
      <c r="L40" s="353"/>
      <c r="M40" s="66"/>
      <c r="N40" s="67"/>
    </row>
    <row r="41" spans="2:14" ht="26.5" thickBot="1" x14ac:dyDescent="0.4">
      <c r="B41" s="84" t="s">
        <v>223</v>
      </c>
      <c r="C41" s="206">
        <v>78</v>
      </c>
      <c r="D41" s="259" t="s">
        <v>225</v>
      </c>
      <c r="E41" s="149"/>
      <c r="F41" s="202">
        <v>0.126</v>
      </c>
      <c r="G41" s="224" t="str">
        <f t="shared" si="0"/>
        <v/>
      </c>
      <c r="H41" s="147"/>
      <c r="I41"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1"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1" s="352"/>
      <c r="L41" s="353"/>
      <c r="M41" s="66"/>
      <c r="N41" s="67"/>
    </row>
    <row r="42" spans="2:14" ht="26.5" thickBot="1" x14ac:dyDescent="0.4">
      <c r="B42" s="84" t="s">
        <v>223</v>
      </c>
      <c r="C42" s="206">
        <v>80</v>
      </c>
      <c r="D42" s="259" t="s">
        <v>227</v>
      </c>
      <c r="E42" s="149"/>
      <c r="F42" s="202">
        <v>0.112</v>
      </c>
      <c r="G42" s="224" t="str">
        <f t="shared" si="0"/>
        <v/>
      </c>
      <c r="H42" s="147"/>
      <c r="I42"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2"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2" s="352"/>
      <c r="L42" s="353"/>
      <c r="M42" s="66"/>
      <c r="N42" s="67"/>
    </row>
    <row r="43" spans="2:14" ht="26.5" thickBot="1" x14ac:dyDescent="0.4">
      <c r="B43" s="84" t="s">
        <v>223</v>
      </c>
      <c r="C43" s="206">
        <v>81</v>
      </c>
      <c r="D43" s="259" t="s">
        <v>228</v>
      </c>
      <c r="E43" s="149"/>
      <c r="F43" s="202">
        <v>0.193</v>
      </c>
      <c r="G43" s="224" t="str">
        <f t="shared" si="0"/>
        <v/>
      </c>
      <c r="H43" s="147"/>
      <c r="I43"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3"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3" s="352"/>
      <c r="L43" s="353"/>
      <c r="M43" s="66"/>
      <c r="N43" s="67"/>
    </row>
    <row r="44" spans="2:14" ht="26.5" thickBot="1" x14ac:dyDescent="0.4">
      <c r="B44" s="84" t="s">
        <v>223</v>
      </c>
      <c r="C44" s="206">
        <v>82</v>
      </c>
      <c r="D44" s="259" t="s">
        <v>229</v>
      </c>
      <c r="E44" s="149"/>
      <c r="F44" s="202">
        <v>0.189</v>
      </c>
      <c r="G44" s="224" t="str">
        <f t="shared" si="0"/>
        <v/>
      </c>
      <c r="H44" s="147"/>
      <c r="I44"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4"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4" s="352"/>
      <c r="L44" s="353"/>
      <c r="M44" s="66"/>
      <c r="N44" s="67"/>
    </row>
    <row r="45" spans="2:14" ht="15" thickBot="1" x14ac:dyDescent="0.4">
      <c r="B45" s="84" t="s">
        <v>1036</v>
      </c>
      <c r="C45" s="206" t="s">
        <v>1037</v>
      </c>
      <c r="D45" s="259" t="s">
        <v>1038</v>
      </c>
      <c r="E45" s="292"/>
      <c r="F45" s="202">
        <v>0.188</v>
      </c>
      <c r="G45" s="293" t="str">
        <f t="shared" si="0"/>
        <v/>
      </c>
      <c r="H45" s="294"/>
      <c r="I45"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5" s="281"/>
      <c r="K45" s="282"/>
      <c r="L45" s="283"/>
      <c r="M45" s="66"/>
      <c r="N45" s="67"/>
    </row>
    <row r="46" spans="2:14" ht="26.5" thickBot="1" x14ac:dyDescent="0.4">
      <c r="B46" s="84" t="s">
        <v>234</v>
      </c>
      <c r="C46" s="206">
        <v>86</v>
      </c>
      <c r="D46" s="259" t="s">
        <v>235</v>
      </c>
      <c r="E46" s="149"/>
      <c r="F46" s="202">
        <v>0.32</v>
      </c>
      <c r="G46" s="224" t="str">
        <f t="shared" si="0"/>
        <v/>
      </c>
      <c r="H46" s="147"/>
      <c r="I46"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6"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6" s="352"/>
      <c r="L46" s="353"/>
      <c r="M46" s="66"/>
      <c r="N46" s="67"/>
    </row>
    <row r="47" spans="2:14" ht="26.5" thickBot="1" x14ac:dyDescent="0.4">
      <c r="B47" s="84" t="s">
        <v>236</v>
      </c>
      <c r="C47" s="206">
        <v>90</v>
      </c>
      <c r="D47" s="259" t="s">
        <v>237</v>
      </c>
      <c r="E47" s="149"/>
      <c r="F47" s="202">
        <v>0.32900000000000001</v>
      </c>
      <c r="G47" s="224" t="str">
        <f t="shared" si="0"/>
        <v/>
      </c>
      <c r="H47" s="147"/>
      <c r="I47"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7"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7" s="352"/>
      <c r="L47" s="353"/>
      <c r="M47" s="66"/>
      <c r="N47" s="67"/>
    </row>
    <row r="48" spans="2:14" ht="26.5" thickBot="1" x14ac:dyDescent="0.4">
      <c r="B48" s="84" t="s">
        <v>236</v>
      </c>
      <c r="C48" s="206">
        <v>93</v>
      </c>
      <c r="D48" s="259" t="s">
        <v>240</v>
      </c>
      <c r="E48" s="149"/>
      <c r="F48" s="202">
        <v>0.29099999999999998</v>
      </c>
      <c r="G48" s="224" t="str">
        <f t="shared" si="0"/>
        <v/>
      </c>
      <c r="H48" s="147"/>
      <c r="I48" s="177">
        <f>(SupplyChainTier1[[#This Row],[Amount spent by product category (£)]]-SUMIF(SupplychainTier2[Product category], SupplyChainTier1[[#This Row],[Product category]], SupplychainTier2[Spend for which Tier 2 method accounts]))*SupplyChainTier1[[#This Row],[Emission factor (kgCO2e per £ spent)]]+SUMIF(SupplychainTier2[Product category], SupplyChainTier1[[#This Row],[Product category]], SupplychainTier2[Calculated emissions (kgCO2e) for this spend])</f>
        <v>0</v>
      </c>
      <c r="J48" s="351" t="str">
        <f>IF(SUMIF(SupplychainTier2[Product category],SupplyChainTier1[[#This Row],[Product category]],SupplychainTier2[Spend for which Tier 2 method accounts])&gt;SupplyChainTier1[[#This Row],[Amount spent by product category (£)]], "Error: Please ensure that the spend relating to any emissions reported in the Tier 2 table is also included in this Tier 1 table.","")</f>
        <v/>
      </c>
      <c r="K48" s="352"/>
      <c r="L48" s="353"/>
      <c r="M48" s="66"/>
      <c r="N48" s="67"/>
    </row>
    <row r="49" spans="1:12" x14ac:dyDescent="0.35">
      <c r="B49" s="27"/>
      <c r="C49" s="27"/>
      <c r="D49" s="27"/>
      <c r="E49" s="27"/>
      <c r="F49" s="27"/>
      <c r="G49" s="27"/>
      <c r="H49" s="27"/>
      <c r="I49" s="27"/>
      <c r="J49" s="27"/>
      <c r="K49" s="27"/>
      <c r="L49" s="27"/>
    </row>
    <row r="50" spans="1:12" x14ac:dyDescent="0.35">
      <c r="B50" s="354" t="s">
        <v>1031</v>
      </c>
      <c r="C50" s="355"/>
      <c r="D50" s="355"/>
      <c r="E50" s="355"/>
      <c r="F50" s="355"/>
      <c r="G50" s="355"/>
      <c r="H50" s="355"/>
      <c r="I50" s="356"/>
    </row>
    <row r="51" spans="1:12" ht="51" customHeight="1" x14ac:dyDescent="0.35">
      <c r="B51" s="357"/>
      <c r="C51" s="358"/>
      <c r="D51" s="358"/>
      <c r="E51" s="358"/>
      <c r="F51" s="358"/>
      <c r="G51" s="358"/>
      <c r="H51" s="358"/>
      <c r="I51" s="359"/>
    </row>
    <row r="52" spans="1:12" ht="7.75" customHeight="1" x14ac:dyDescent="0.35"/>
    <row r="53" spans="1:12" ht="19" thickBot="1" x14ac:dyDescent="0.4">
      <c r="B53" s="31" t="s">
        <v>247</v>
      </c>
      <c r="D53"/>
      <c r="E53" s="13"/>
    </row>
    <row r="54" spans="1:12" ht="29.15" customHeight="1" thickBot="1" x14ac:dyDescent="0.4">
      <c r="A54" s="26"/>
      <c r="B54" s="2" t="s">
        <v>110</v>
      </c>
      <c r="C54" s="93" t="s">
        <v>111</v>
      </c>
      <c r="D54" s="93" t="s">
        <v>112</v>
      </c>
      <c r="E54" s="16" t="s">
        <v>248</v>
      </c>
      <c r="F54" s="178" t="s">
        <v>3</v>
      </c>
      <c r="G54" s="179" t="s">
        <v>249</v>
      </c>
      <c r="H54" s="175" t="s">
        <v>250</v>
      </c>
    </row>
    <row r="55" spans="1:12" ht="15" thickBot="1" x14ac:dyDescent="0.4">
      <c r="A55" s="26"/>
      <c r="B55" s="135" t="str">
        <f t="shared" ref="B55:B86" si="1">IFERROR(VLOOKUP(D55,SICProductCodeLookup,2,FALSE), "")</f>
        <v/>
      </c>
      <c r="C55" s="207" t="str">
        <f t="shared" ref="C55:C86" si="2">IFERROR((VLOOKUP(D55,SICProductCodeLookup,3,FALSE)), "")</f>
        <v/>
      </c>
      <c r="D55" s="150"/>
      <c r="E55" s="120"/>
      <c r="F55" s="85"/>
      <c r="G55" s="232"/>
      <c r="H55" s="147"/>
    </row>
    <row r="56" spans="1:12" ht="15" thickBot="1" x14ac:dyDescent="0.4">
      <c r="A56" s="26"/>
      <c r="B56" s="135" t="str">
        <f t="shared" si="1"/>
        <v/>
      </c>
      <c r="C56" s="207" t="str">
        <f t="shared" si="2"/>
        <v/>
      </c>
      <c r="D56" s="150"/>
      <c r="E56" s="146"/>
      <c r="F56" s="86"/>
      <c r="G56" s="232"/>
      <c r="H56" s="147"/>
    </row>
    <row r="57" spans="1:12" ht="15" thickBot="1" x14ac:dyDescent="0.4">
      <c r="A57" s="26"/>
      <c r="B57" s="135" t="str">
        <f t="shared" si="1"/>
        <v/>
      </c>
      <c r="C57" s="207" t="str">
        <f t="shared" si="2"/>
        <v/>
      </c>
      <c r="D57" s="150"/>
      <c r="E57" s="146"/>
      <c r="F57" s="182"/>
      <c r="G57" s="232"/>
      <c r="H57" s="147"/>
    </row>
    <row r="58" spans="1:12" ht="15" thickBot="1" x14ac:dyDescent="0.4">
      <c r="A58" s="26"/>
      <c r="B58" s="135" t="str">
        <f t="shared" si="1"/>
        <v/>
      </c>
      <c r="C58" s="207" t="str">
        <f t="shared" si="2"/>
        <v/>
      </c>
      <c r="D58" s="150"/>
      <c r="E58" s="146"/>
      <c r="F58" s="182"/>
      <c r="G58" s="232"/>
      <c r="H58" s="147"/>
    </row>
    <row r="59" spans="1:12" ht="15" thickBot="1" x14ac:dyDescent="0.4">
      <c r="A59" s="26"/>
      <c r="B59" s="135" t="str">
        <f t="shared" si="1"/>
        <v/>
      </c>
      <c r="C59" s="207" t="str">
        <f t="shared" si="2"/>
        <v/>
      </c>
      <c r="D59" s="150"/>
      <c r="E59" s="146"/>
      <c r="F59" s="182"/>
      <c r="G59" s="232"/>
      <c r="H59" s="147"/>
    </row>
    <row r="60" spans="1:12" ht="15" thickBot="1" x14ac:dyDescent="0.4">
      <c r="A60" s="26"/>
      <c r="B60" s="135" t="str">
        <f t="shared" si="1"/>
        <v/>
      </c>
      <c r="C60" s="207" t="str">
        <f t="shared" si="2"/>
        <v/>
      </c>
      <c r="D60" s="150"/>
      <c r="E60" s="146"/>
      <c r="F60" s="182"/>
      <c r="G60" s="232"/>
      <c r="H60" s="147"/>
    </row>
    <row r="61" spans="1:12" ht="15" thickBot="1" x14ac:dyDescent="0.4">
      <c r="A61" s="26"/>
      <c r="B61" s="135" t="str">
        <f t="shared" si="1"/>
        <v/>
      </c>
      <c r="C61" s="207" t="str">
        <f t="shared" si="2"/>
        <v/>
      </c>
      <c r="D61" s="150"/>
      <c r="E61" s="146"/>
      <c r="F61" s="182"/>
      <c r="G61" s="232"/>
      <c r="H61" s="147"/>
    </row>
    <row r="62" spans="1:12" ht="15" thickBot="1" x14ac:dyDescent="0.4">
      <c r="A62" s="26"/>
      <c r="B62" s="135" t="str">
        <f t="shared" si="1"/>
        <v/>
      </c>
      <c r="C62" s="207" t="str">
        <f t="shared" si="2"/>
        <v/>
      </c>
      <c r="D62" s="150"/>
      <c r="E62" s="146"/>
      <c r="F62" s="182"/>
      <c r="G62" s="232"/>
      <c r="H62" s="147"/>
    </row>
    <row r="63" spans="1:12" ht="15" thickBot="1" x14ac:dyDescent="0.4">
      <c r="A63" s="26"/>
      <c r="B63" s="135" t="str">
        <f t="shared" si="1"/>
        <v/>
      </c>
      <c r="C63" s="207" t="str">
        <f t="shared" si="2"/>
        <v/>
      </c>
      <c r="D63" s="150"/>
      <c r="E63" s="146"/>
      <c r="F63" s="182"/>
      <c r="G63" s="232"/>
      <c r="H63" s="147"/>
    </row>
    <row r="64" spans="1:12" ht="15" thickBot="1" x14ac:dyDescent="0.4">
      <c r="A64" s="26"/>
      <c r="B64" s="135" t="str">
        <f t="shared" si="1"/>
        <v/>
      </c>
      <c r="C64" s="207" t="str">
        <f t="shared" si="2"/>
        <v/>
      </c>
      <c r="D64" s="150"/>
      <c r="E64" s="146"/>
      <c r="F64" s="182"/>
      <c r="G64" s="232"/>
      <c r="H64" s="147"/>
    </row>
    <row r="65" spans="1:8" ht="15" thickBot="1" x14ac:dyDescent="0.4">
      <c r="A65" s="26"/>
      <c r="B65" s="135" t="str">
        <f t="shared" si="1"/>
        <v/>
      </c>
      <c r="C65" s="207" t="str">
        <f t="shared" si="2"/>
        <v/>
      </c>
      <c r="D65" s="150"/>
      <c r="E65" s="146"/>
      <c r="F65" s="182"/>
      <c r="G65" s="232"/>
      <c r="H65" s="147"/>
    </row>
    <row r="66" spans="1:8" ht="15" thickBot="1" x14ac:dyDescent="0.4">
      <c r="A66" s="26"/>
      <c r="B66" s="135" t="str">
        <f t="shared" si="1"/>
        <v/>
      </c>
      <c r="C66" s="207" t="str">
        <f t="shared" si="2"/>
        <v/>
      </c>
      <c r="D66" s="150"/>
      <c r="E66" s="146"/>
      <c r="F66" s="182"/>
      <c r="G66" s="232"/>
      <c r="H66" s="147"/>
    </row>
    <row r="67" spans="1:8" ht="15" thickBot="1" x14ac:dyDescent="0.4">
      <c r="A67" s="26"/>
      <c r="B67" s="135" t="str">
        <f t="shared" si="1"/>
        <v/>
      </c>
      <c r="C67" s="207" t="str">
        <f t="shared" si="2"/>
        <v/>
      </c>
      <c r="D67" s="150"/>
      <c r="E67" s="146"/>
      <c r="F67" s="182"/>
      <c r="G67" s="232"/>
      <c r="H67" s="147"/>
    </row>
    <row r="68" spans="1:8" ht="15" thickBot="1" x14ac:dyDescent="0.4">
      <c r="A68" s="26"/>
      <c r="B68" s="135" t="str">
        <f t="shared" si="1"/>
        <v/>
      </c>
      <c r="C68" s="207" t="str">
        <f t="shared" si="2"/>
        <v/>
      </c>
      <c r="D68" s="150"/>
      <c r="E68" s="146"/>
      <c r="F68" s="182"/>
      <c r="G68" s="232"/>
      <c r="H68" s="147"/>
    </row>
    <row r="69" spans="1:8" ht="15" thickBot="1" x14ac:dyDescent="0.4">
      <c r="A69" s="26"/>
      <c r="B69" s="135" t="str">
        <f t="shared" si="1"/>
        <v/>
      </c>
      <c r="C69" s="207" t="str">
        <f t="shared" si="2"/>
        <v/>
      </c>
      <c r="D69" s="150"/>
      <c r="E69" s="146"/>
      <c r="F69" s="182"/>
      <c r="G69" s="232"/>
      <c r="H69" s="147"/>
    </row>
    <row r="70" spans="1:8" ht="15" thickBot="1" x14ac:dyDescent="0.4">
      <c r="A70" s="26"/>
      <c r="B70" s="135" t="str">
        <f t="shared" si="1"/>
        <v/>
      </c>
      <c r="C70" s="207" t="str">
        <f t="shared" si="2"/>
        <v/>
      </c>
      <c r="D70" s="150"/>
      <c r="E70" s="146"/>
      <c r="F70" s="182"/>
      <c r="G70" s="232"/>
      <c r="H70" s="147"/>
    </row>
    <row r="71" spans="1:8" ht="15" thickBot="1" x14ac:dyDescent="0.4">
      <c r="A71" s="26"/>
      <c r="B71" s="135" t="str">
        <f t="shared" si="1"/>
        <v/>
      </c>
      <c r="C71" s="207" t="str">
        <f t="shared" si="2"/>
        <v/>
      </c>
      <c r="D71" s="150"/>
      <c r="E71" s="146"/>
      <c r="F71" s="182"/>
      <c r="G71" s="232"/>
      <c r="H71" s="147"/>
    </row>
    <row r="72" spans="1:8" ht="15" thickBot="1" x14ac:dyDescent="0.4">
      <c r="A72" s="26"/>
      <c r="B72" s="135" t="str">
        <f t="shared" si="1"/>
        <v/>
      </c>
      <c r="C72" s="207" t="str">
        <f t="shared" si="2"/>
        <v/>
      </c>
      <c r="D72" s="150"/>
      <c r="E72" s="146"/>
      <c r="F72" s="182"/>
      <c r="G72" s="232"/>
      <c r="H72" s="147"/>
    </row>
    <row r="73" spans="1:8" ht="15" thickBot="1" x14ac:dyDescent="0.4">
      <c r="A73" s="26"/>
      <c r="B73" s="135" t="str">
        <f t="shared" si="1"/>
        <v/>
      </c>
      <c r="C73" s="207" t="str">
        <f t="shared" si="2"/>
        <v/>
      </c>
      <c r="D73" s="150"/>
      <c r="E73" s="146"/>
      <c r="F73" s="182"/>
      <c r="G73" s="232"/>
      <c r="H73" s="147"/>
    </row>
    <row r="74" spans="1:8" ht="15" thickBot="1" x14ac:dyDescent="0.4">
      <c r="A74" s="26"/>
      <c r="B74" s="135" t="str">
        <f t="shared" si="1"/>
        <v/>
      </c>
      <c r="C74" s="207" t="str">
        <f t="shared" si="2"/>
        <v/>
      </c>
      <c r="D74" s="150"/>
      <c r="E74" s="146"/>
      <c r="F74" s="182"/>
      <c r="G74" s="232"/>
      <c r="H74" s="147"/>
    </row>
    <row r="75" spans="1:8" ht="15" thickBot="1" x14ac:dyDescent="0.4">
      <c r="A75" s="26"/>
      <c r="B75" s="135" t="str">
        <f t="shared" si="1"/>
        <v/>
      </c>
      <c r="C75" s="207" t="str">
        <f t="shared" si="2"/>
        <v/>
      </c>
      <c r="D75" s="150"/>
      <c r="E75" s="146"/>
      <c r="F75" s="182"/>
      <c r="G75" s="232"/>
      <c r="H75" s="147"/>
    </row>
    <row r="76" spans="1:8" ht="15" thickBot="1" x14ac:dyDescent="0.4">
      <c r="A76" s="26"/>
      <c r="B76" s="135" t="str">
        <f t="shared" si="1"/>
        <v/>
      </c>
      <c r="C76" s="207" t="str">
        <f t="shared" si="2"/>
        <v/>
      </c>
      <c r="D76" s="150"/>
      <c r="E76" s="146"/>
      <c r="F76" s="182"/>
      <c r="G76" s="232"/>
      <c r="H76" s="147"/>
    </row>
    <row r="77" spans="1:8" ht="15" thickBot="1" x14ac:dyDescent="0.4">
      <c r="A77" s="26"/>
      <c r="B77" s="135" t="str">
        <f t="shared" si="1"/>
        <v/>
      </c>
      <c r="C77" s="207" t="str">
        <f t="shared" si="2"/>
        <v/>
      </c>
      <c r="D77" s="150"/>
      <c r="E77" s="146"/>
      <c r="F77" s="182"/>
      <c r="G77" s="232"/>
      <c r="H77" s="147"/>
    </row>
    <row r="78" spans="1:8" ht="15" thickBot="1" x14ac:dyDescent="0.4">
      <c r="A78" s="26"/>
      <c r="B78" s="135" t="str">
        <f t="shared" si="1"/>
        <v/>
      </c>
      <c r="C78" s="207" t="str">
        <f t="shared" si="2"/>
        <v/>
      </c>
      <c r="D78" s="150"/>
      <c r="E78" s="120"/>
      <c r="F78" s="85"/>
      <c r="G78" s="232"/>
      <c r="H78" s="147"/>
    </row>
    <row r="79" spans="1:8" ht="15" thickBot="1" x14ac:dyDescent="0.4">
      <c r="A79" s="26"/>
      <c r="B79" s="135" t="str">
        <f t="shared" si="1"/>
        <v/>
      </c>
      <c r="C79" s="207" t="str">
        <f t="shared" si="2"/>
        <v/>
      </c>
      <c r="D79" s="150"/>
      <c r="E79" s="120"/>
      <c r="F79" s="85"/>
      <c r="G79" s="232"/>
      <c r="H79" s="147"/>
    </row>
    <row r="80" spans="1:8" ht="15" thickBot="1" x14ac:dyDescent="0.4">
      <c r="A80" s="26"/>
      <c r="B80" s="135" t="str">
        <f t="shared" si="1"/>
        <v/>
      </c>
      <c r="C80" s="207" t="str">
        <f t="shared" si="2"/>
        <v/>
      </c>
      <c r="D80" s="150"/>
      <c r="E80" s="120"/>
      <c r="F80" s="85"/>
      <c r="G80" s="232"/>
      <c r="H80" s="147"/>
    </row>
    <row r="81" spans="1:12" ht="15" thickBot="1" x14ac:dyDescent="0.4">
      <c r="A81" s="26"/>
      <c r="B81" s="135" t="str">
        <f t="shared" si="1"/>
        <v/>
      </c>
      <c r="C81" s="207" t="str">
        <f t="shared" si="2"/>
        <v/>
      </c>
      <c r="D81" s="150"/>
      <c r="E81" s="120"/>
      <c r="F81" s="85"/>
      <c r="G81" s="232"/>
      <c r="H81" s="147"/>
    </row>
    <row r="82" spans="1:12" ht="15" thickBot="1" x14ac:dyDescent="0.4">
      <c r="A82" s="26"/>
      <c r="B82" s="135" t="str">
        <f t="shared" si="1"/>
        <v/>
      </c>
      <c r="C82" s="207" t="str">
        <f t="shared" si="2"/>
        <v/>
      </c>
      <c r="D82" s="150"/>
      <c r="E82" s="120"/>
      <c r="F82" s="85"/>
      <c r="G82" s="232"/>
      <c r="H82" s="147"/>
    </row>
    <row r="83" spans="1:12" ht="15" thickBot="1" x14ac:dyDescent="0.4">
      <c r="A83" s="26"/>
      <c r="B83" s="135" t="str">
        <f t="shared" si="1"/>
        <v/>
      </c>
      <c r="C83" s="207" t="str">
        <f t="shared" si="2"/>
        <v/>
      </c>
      <c r="D83" s="150"/>
      <c r="E83" s="120"/>
      <c r="F83" s="85"/>
      <c r="G83" s="232"/>
      <c r="H83" s="147"/>
    </row>
    <row r="84" spans="1:12" ht="15" thickBot="1" x14ac:dyDescent="0.4">
      <c r="A84" s="26"/>
      <c r="B84" s="135" t="str">
        <f t="shared" si="1"/>
        <v/>
      </c>
      <c r="C84" s="207" t="str">
        <f t="shared" si="2"/>
        <v/>
      </c>
      <c r="D84" s="150"/>
      <c r="E84" s="120"/>
      <c r="F84" s="85"/>
      <c r="G84" s="232"/>
      <c r="H84" s="147"/>
    </row>
    <row r="85" spans="1:12" ht="15" thickBot="1" x14ac:dyDescent="0.4">
      <c r="A85" s="26"/>
      <c r="B85" s="135" t="str">
        <f t="shared" si="1"/>
        <v/>
      </c>
      <c r="C85" s="207" t="str">
        <f t="shared" si="2"/>
        <v/>
      </c>
      <c r="D85" s="150"/>
      <c r="E85" s="120"/>
      <c r="F85" s="85"/>
      <c r="G85" s="232"/>
      <c r="H85" s="147"/>
    </row>
    <row r="86" spans="1:12" ht="15" thickBot="1" x14ac:dyDescent="0.4">
      <c r="A86" s="26"/>
      <c r="B86" s="135" t="str">
        <f t="shared" si="1"/>
        <v/>
      </c>
      <c r="C86" s="207" t="str">
        <f t="shared" si="2"/>
        <v/>
      </c>
      <c r="D86" s="150"/>
      <c r="E86" s="120"/>
      <c r="F86" s="86"/>
      <c r="G86" s="233"/>
      <c r="H86" s="148"/>
    </row>
    <row r="87" spans="1:12" x14ac:dyDescent="0.35">
      <c r="B87" s="13"/>
      <c r="C87" s="13"/>
      <c r="J87" s="27"/>
      <c r="K87" s="27"/>
      <c r="L87" s="27"/>
    </row>
  </sheetData>
  <mergeCells count="50">
    <mergeCell ref="B50:I51"/>
    <mergeCell ref="B4:I4"/>
    <mergeCell ref="B2:F2"/>
    <mergeCell ref="B3:I3"/>
    <mergeCell ref="J9:L9"/>
    <mergeCell ref="B5:I5"/>
    <mergeCell ref="J13:L13"/>
    <mergeCell ref="J14:L14"/>
    <mergeCell ref="J15:L15"/>
    <mergeCell ref="J10:L10"/>
    <mergeCell ref="J11:L11"/>
    <mergeCell ref="J12:L12"/>
    <mergeCell ref="J16:L16"/>
    <mergeCell ref="J21:L21"/>
    <mergeCell ref="J22:L22"/>
    <mergeCell ref="J17:L17"/>
    <mergeCell ref="J8:L8"/>
    <mergeCell ref="J33:L33"/>
    <mergeCell ref="J34:L34"/>
    <mergeCell ref="J35:L35"/>
    <mergeCell ref="J36:L36"/>
    <mergeCell ref="J28:L28"/>
    <mergeCell ref="J23:L23"/>
    <mergeCell ref="J24:L24"/>
    <mergeCell ref="J25:L25"/>
    <mergeCell ref="J29:L29"/>
    <mergeCell ref="J18:L18"/>
    <mergeCell ref="J19:L19"/>
    <mergeCell ref="J20:L20"/>
    <mergeCell ref="J26:L26"/>
    <mergeCell ref="J27:L27"/>
    <mergeCell ref="J39:L39"/>
    <mergeCell ref="J40:L40"/>
    <mergeCell ref="J41:L41"/>
    <mergeCell ref="J30:L30"/>
    <mergeCell ref="J31:L31"/>
    <mergeCell ref="J32:L32"/>
    <mergeCell ref="J38:L38"/>
    <mergeCell ref="J37:L37"/>
    <mergeCell ref="J48:L48"/>
    <mergeCell ref="J46:L46"/>
    <mergeCell ref="J47:L47"/>
    <mergeCell ref="J42:L42"/>
    <mergeCell ref="J43:L43"/>
    <mergeCell ref="J44:L44"/>
    <mergeCell ref="H1:I1"/>
    <mergeCell ref="J1:K1"/>
    <mergeCell ref="H2:I2"/>
    <mergeCell ref="J2:K2"/>
    <mergeCell ref="J7:L7"/>
  </mergeCells>
  <conditionalFormatting sqref="B3">
    <cfRule type="expression" dxfId="7" priority="1">
      <formula>ISERROR($L3)</formula>
    </cfRule>
  </conditionalFormatting>
  <dataValidations count="2">
    <dataValidation type="list" allowBlank="1" showInputMessage="1" showErrorMessage="1" sqref="D55:D86" xr:uid="{00000000-0002-0000-0500-000000000000}">
      <formula1>SICProductCategories</formula1>
    </dataValidation>
    <dataValidation type="decimal" operator="greaterThan" allowBlank="1" showInputMessage="1" showErrorMessage="1" errorTitle="Numeric data" error="Please enter a number greater than zero" sqref="E57:E86 E55" xr:uid="{00000000-0002-0000-0500-000001000000}">
      <formula1>0</formula1>
    </dataValidation>
  </dataValidations>
  <pageMargins left="0.7" right="0.7" top="0.75" bottom="0.75" header="0.3" footer="0.3"/>
  <pageSetup paperSize="8" scale="66" fitToHeight="0" orientation="landscape" r:id="rId1"/>
  <headerFooter alignWithMargins="0"/>
  <ignoredErrors>
    <ignoredError sqref="C45" numberStoredAsText="1"/>
  </ignoredErrors>
  <legacy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27CCF9"/>
    <pageSetUpPr fitToPage="1"/>
  </sheetPr>
  <dimension ref="A1:Q38"/>
  <sheetViews>
    <sheetView topLeftCell="B1" workbookViewId="0">
      <selection activeCell="B1" sqref="B1:G2"/>
    </sheetView>
  </sheetViews>
  <sheetFormatPr defaultColWidth="8.54296875" defaultRowHeight="14.5" x14ac:dyDescent="0.35"/>
  <cols>
    <col min="1" max="1" width="2.1796875" style="1" customWidth="1"/>
    <col min="2" max="2" width="24.1796875" style="1" customWidth="1"/>
    <col min="3" max="3" width="19.54296875" style="1" customWidth="1"/>
    <col min="4" max="4" width="20.1796875" style="1" customWidth="1"/>
    <col min="5" max="5" width="11.54296875" style="1" customWidth="1"/>
    <col min="6" max="6" width="20.54296875" style="1" customWidth="1"/>
    <col min="7" max="7" width="28.54296875" style="1" customWidth="1"/>
    <col min="8" max="8" width="21.453125" style="1" customWidth="1"/>
    <col min="9" max="9" width="39.1796875" style="1" customWidth="1"/>
    <col min="10" max="10" width="39.54296875" style="1" customWidth="1"/>
    <col min="11" max="11" width="10.1796875" style="1" customWidth="1"/>
    <col min="12" max="12" width="13" style="1" customWidth="1"/>
    <col min="13" max="13" width="15.453125" style="1" customWidth="1"/>
    <col min="14" max="14" width="20.54296875" style="1" customWidth="1"/>
    <col min="15" max="15" width="8.54296875" style="1" customWidth="1"/>
    <col min="16" max="16384" width="8.54296875" style="1"/>
  </cols>
  <sheetData>
    <row r="1" spans="1:17" ht="15" thickBot="1" x14ac:dyDescent="0.4">
      <c r="B1" s="360" t="s">
        <v>1024</v>
      </c>
      <c r="C1" s="361"/>
      <c r="D1" s="361"/>
      <c r="E1" s="361"/>
      <c r="F1" s="361"/>
      <c r="G1" s="361"/>
      <c r="H1" s="141" t="s">
        <v>1025</v>
      </c>
      <c r="I1" s="328" t="s">
        <v>1026</v>
      </c>
      <c r="J1" s="329"/>
      <c r="K1" s="315" t="s">
        <v>1027</v>
      </c>
      <c r="L1" s="316"/>
      <c r="M1" s="117"/>
      <c r="N1" s="117"/>
      <c r="O1" s="117"/>
      <c r="P1" s="117"/>
      <c r="Q1" s="117"/>
    </row>
    <row r="2" spans="1:17" ht="15" thickBot="1" x14ac:dyDescent="0.4">
      <c r="B2" s="362"/>
      <c r="C2" s="363"/>
      <c r="D2" s="363"/>
      <c r="E2" s="363"/>
      <c r="F2" s="363"/>
      <c r="G2" s="363"/>
      <c r="H2" s="26"/>
      <c r="I2" s="326" t="s">
        <v>1028</v>
      </c>
      <c r="J2" s="327"/>
      <c r="K2" s="317" t="s">
        <v>1029</v>
      </c>
      <c r="L2" s="318"/>
      <c r="M2" s="117"/>
      <c r="N2" s="117"/>
      <c r="O2" s="117"/>
      <c r="P2" s="117"/>
      <c r="Q2" s="117"/>
    </row>
    <row r="3" spans="1:17" ht="54" customHeight="1" thickBot="1" x14ac:dyDescent="0.4">
      <c r="A3" s="26"/>
      <c r="B3" s="309" t="s">
        <v>1063</v>
      </c>
      <c r="C3" s="323"/>
      <c r="D3" s="323"/>
      <c r="E3" s="323"/>
      <c r="F3" s="323"/>
      <c r="G3" s="323"/>
      <c r="H3" s="323"/>
      <c r="I3" s="323"/>
      <c r="J3" s="323"/>
      <c r="K3" s="117"/>
      <c r="L3" s="117"/>
      <c r="M3" s="117"/>
      <c r="N3" s="117"/>
      <c r="O3" s="117"/>
      <c r="P3" s="117"/>
      <c r="Q3" s="117"/>
    </row>
    <row r="4" spans="1:17" ht="95.25" customHeight="1" x14ac:dyDescent="0.35">
      <c r="A4" s="26"/>
      <c r="B4" s="309" t="s">
        <v>1064</v>
      </c>
      <c r="C4" s="323"/>
      <c r="D4" s="323"/>
      <c r="E4" s="323"/>
      <c r="F4" s="323"/>
      <c r="G4" s="323"/>
      <c r="H4" s="323"/>
      <c r="I4" s="323"/>
      <c r="J4" s="323"/>
      <c r="K4" s="117"/>
      <c r="L4" s="117"/>
      <c r="M4" s="117"/>
      <c r="N4" s="117"/>
      <c r="O4" s="63"/>
      <c r="P4" s="54"/>
    </row>
    <row r="5" spans="1:17" x14ac:dyDescent="0.35">
      <c r="A5" s="7"/>
      <c r="B5" s="27"/>
      <c r="C5" s="131"/>
      <c r="D5" s="131"/>
      <c r="E5" s="27"/>
      <c r="F5" s="27"/>
      <c r="G5" s="27"/>
      <c r="H5" s="27"/>
      <c r="I5" s="27"/>
      <c r="J5" s="27"/>
    </row>
    <row r="6" spans="1:17" ht="18.5" x14ac:dyDescent="0.35">
      <c r="B6" s="31" t="s">
        <v>251</v>
      </c>
      <c r="E6" s="137"/>
      <c r="F6" s="184" t="str">
        <f>IF(D8&lt;(E8+F8), "Error - Total kWh generated cannot be less than the sum of kWh used onsite and kWh exported", "")</f>
        <v/>
      </c>
      <c r="G6" s="183"/>
      <c r="H6" s="183"/>
      <c r="I6" s="183"/>
      <c r="J6" s="27"/>
      <c r="K6" s="27"/>
      <c r="L6" s="27"/>
      <c r="M6" s="27"/>
      <c r="N6" s="27"/>
      <c r="O6" s="27"/>
    </row>
    <row r="7" spans="1:17" ht="44" thickBot="1" x14ac:dyDescent="0.4">
      <c r="A7" s="27"/>
      <c r="B7" s="82" t="s">
        <v>252</v>
      </c>
      <c r="C7" s="83" t="s">
        <v>253</v>
      </c>
      <c r="D7" s="83" t="s">
        <v>254</v>
      </c>
      <c r="E7" s="83" t="s">
        <v>255</v>
      </c>
      <c r="F7" s="83" t="s">
        <v>256</v>
      </c>
      <c r="G7" s="83" t="s">
        <v>64</v>
      </c>
    </row>
    <row r="8" spans="1:17" ht="15" thickBot="1" x14ac:dyDescent="0.4">
      <c r="B8" s="151"/>
      <c r="C8" s="152"/>
      <c r="D8" s="120"/>
      <c r="E8" s="120"/>
      <c r="F8" s="120"/>
      <c r="G8" s="156"/>
    </row>
    <row r="9" spans="1:17" ht="15" thickBot="1" x14ac:dyDescent="0.4">
      <c r="B9" s="151"/>
      <c r="C9" s="152"/>
      <c r="D9" s="120"/>
      <c r="E9" s="120"/>
      <c r="F9" s="120"/>
      <c r="G9" s="156"/>
    </row>
    <row r="10" spans="1:17" ht="15" thickBot="1" x14ac:dyDescent="0.4">
      <c r="B10" s="151"/>
      <c r="C10" s="152"/>
      <c r="D10" s="120"/>
      <c r="E10" s="120"/>
      <c r="F10" s="120"/>
      <c r="G10" s="156"/>
    </row>
    <row r="11" spans="1:17" ht="15" thickBot="1" x14ac:dyDescent="0.4">
      <c r="B11" s="151"/>
      <c r="C11" s="152"/>
      <c r="D11" s="120"/>
      <c r="E11" s="120"/>
      <c r="F11" s="120"/>
      <c r="G11" s="156"/>
    </row>
    <row r="12" spans="1:17" ht="15" thickBot="1" x14ac:dyDescent="0.4">
      <c r="B12" s="151"/>
      <c r="C12" s="152"/>
      <c r="D12" s="120"/>
      <c r="E12" s="120"/>
      <c r="F12" s="120"/>
      <c r="G12" s="156"/>
    </row>
    <row r="13" spans="1:17" ht="15" thickBot="1" x14ac:dyDescent="0.4">
      <c r="B13" s="151"/>
      <c r="C13" s="152"/>
      <c r="D13" s="120"/>
      <c r="E13" s="120"/>
      <c r="F13" s="120"/>
      <c r="G13" s="156"/>
    </row>
    <row r="14" spans="1:17" ht="15" thickBot="1" x14ac:dyDescent="0.4">
      <c r="B14" s="151"/>
      <c r="C14" s="152"/>
      <c r="D14" s="120"/>
      <c r="E14" s="120"/>
      <c r="F14" s="120"/>
      <c r="G14" s="156"/>
    </row>
    <row r="15" spans="1:17" ht="15" thickBot="1" x14ac:dyDescent="0.4">
      <c r="B15" s="151"/>
      <c r="C15" s="152"/>
      <c r="D15" s="120"/>
      <c r="E15" s="120"/>
      <c r="F15" s="120"/>
      <c r="G15" s="156"/>
    </row>
    <row r="16" spans="1:17" ht="15" thickBot="1" x14ac:dyDescent="0.4">
      <c r="B16" s="151"/>
      <c r="C16" s="152"/>
      <c r="D16" s="120"/>
      <c r="E16" s="120"/>
      <c r="F16" s="120"/>
      <c r="G16" s="156"/>
    </row>
    <row r="17" spans="2:7" ht="15" thickBot="1" x14ac:dyDescent="0.4">
      <c r="B17" s="151"/>
      <c r="C17" s="152"/>
      <c r="D17" s="120"/>
      <c r="E17" s="120"/>
      <c r="F17" s="120"/>
      <c r="G17" s="156"/>
    </row>
    <row r="18" spans="2:7" ht="15" thickBot="1" x14ac:dyDescent="0.4">
      <c r="B18" s="151"/>
      <c r="C18" s="152"/>
      <c r="D18" s="120"/>
      <c r="E18" s="120"/>
      <c r="F18" s="120"/>
      <c r="G18" s="156"/>
    </row>
    <row r="19" spans="2:7" ht="15" thickBot="1" x14ac:dyDescent="0.4">
      <c r="B19" s="151"/>
      <c r="C19" s="152"/>
      <c r="D19" s="120"/>
      <c r="E19" s="120"/>
      <c r="F19" s="120"/>
      <c r="G19" s="156"/>
    </row>
    <row r="20" spans="2:7" ht="15" thickBot="1" x14ac:dyDescent="0.4">
      <c r="B20" s="151"/>
      <c r="C20" s="152"/>
      <c r="D20" s="120"/>
      <c r="E20" s="120"/>
      <c r="F20" s="120"/>
      <c r="G20" s="156"/>
    </row>
    <row r="21" spans="2:7" ht="15" thickBot="1" x14ac:dyDescent="0.4">
      <c r="B21" s="153"/>
      <c r="C21" s="154"/>
      <c r="D21" s="155"/>
      <c r="E21" s="155"/>
      <c r="F21" s="155"/>
      <c r="G21" s="156"/>
    </row>
    <row r="23" spans="2:7" ht="18.5" x14ac:dyDescent="0.35">
      <c r="B23" s="31" t="s">
        <v>262</v>
      </c>
      <c r="D23" s="13" t="s">
        <v>1005</v>
      </c>
    </row>
    <row r="24" spans="2:7" ht="15" thickBot="1" x14ac:dyDescent="0.4">
      <c r="B24" s="82" t="s">
        <v>252</v>
      </c>
      <c r="C24" s="83" t="s">
        <v>263</v>
      </c>
      <c r="D24" s="83" t="s">
        <v>264</v>
      </c>
      <c r="E24" s="140" t="s">
        <v>3</v>
      </c>
      <c r="F24" s="140" t="s">
        <v>679</v>
      </c>
      <c r="G24" s="83" t="s">
        <v>64</v>
      </c>
    </row>
    <row r="25" spans="2:7" ht="15" thickBot="1" x14ac:dyDescent="0.4">
      <c r="B25" s="151"/>
      <c r="C25" s="152"/>
      <c r="D25" s="120"/>
      <c r="E25" s="229"/>
      <c r="F25" s="139"/>
      <c r="G25" s="156"/>
    </row>
    <row r="26" spans="2:7" ht="15" thickBot="1" x14ac:dyDescent="0.4">
      <c r="B26" s="151"/>
      <c r="C26" s="152"/>
      <c r="D26" s="120"/>
      <c r="E26" s="229"/>
      <c r="F26" s="139"/>
      <c r="G26" s="156"/>
    </row>
    <row r="27" spans="2:7" ht="15" thickBot="1" x14ac:dyDescent="0.4">
      <c r="B27" s="151"/>
      <c r="C27" s="152"/>
      <c r="D27" s="120"/>
      <c r="E27" s="229"/>
      <c r="F27" s="139"/>
      <c r="G27" s="156"/>
    </row>
    <row r="28" spans="2:7" ht="15" thickBot="1" x14ac:dyDescent="0.4">
      <c r="B28" s="151"/>
      <c r="C28" s="152"/>
      <c r="D28" s="120"/>
      <c r="E28" s="229"/>
      <c r="F28" s="139"/>
      <c r="G28" s="156"/>
    </row>
    <row r="29" spans="2:7" ht="15" thickBot="1" x14ac:dyDescent="0.4">
      <c r="B29" s="151"/>
      <c r="C29" s="152"/>
      <c r="D29" s="120"/>
      <c r="E29" s="229"/>
      <c r="F29" s="139"/>
      <c r="G29" s="156"/>
    </row>
    <row r="30" spans="2:7" ht="15" thickBot="1" x14ac:dyDescent="0.4">
      <c r="B30" s="151"/>
      <c r="C30" s="152"/>
      <c r="D30" s="120"/>
      <c r="E30" s="229"/>
      <c r="F30" s="139"/>
      <c r="G30" s="156"/>
    </row>
    <row r="31" spans="2:7" ht="15" thickBot="1" x14ac:dyDescent="0.4">
      <c r="B31" s="151"/>
      <c r="C31" s="152"/>
      <c r="D31" s="120"/>
      <c r="E31" s="229"/>
      <c r="F31" s="139"/>
      <c r="G31" s="156"/>
    </row>
    <row r="32" spans="2:7" ht="15" thickBot="1" x14ac:dyDescent="0.4">
      <c r="B32" s="151"/>
      <c r="C32" s="152"/>
      <c r="D32" s="120"/>
      <c r="E32" s="229"/>
      <c r="F32" s="139"/>
      <c r="G32" s="156"/>
    </row>
    <row r="33" spans="2:7" ht="15" thickBot="1" x14ac:dyDescent="0.4">
      <c r="B33" s="151"/>
      <c r="C33" s="152"/>
      <c r="D33" s="120"/>
      <c r="E33" s="229"/>
      <c r="F33" s="139"/>
      <c r="G33" s="156"/>
    </row>
    <row r="34" spans="2:7" ht="15" thickBot="1" x14ac:dyDescent="0.4">
      <c r="B34" s="151"/>
      <c r="C34" s="152"/>
      <c r="D34" s="120"/>
      <c r="E34" s="229"/>
      <c r="F34" s="139"/>
      <c r="G34" s="156"/>
    </row>
    <row r="35" spans="2:7" ht="14.15" customHeight="1" thickBot="1" x14ac:dyDescent="0.4">
      <c r="B35" s="151"/>
      <c r="C35" s="152"/>
      <c r="D35" s="120"/>
      <c r="E35" s="229"/>
      <c r="F35" s="139"/>
      <c r="G35" s="156"/>
    </row>
    <row r="36" spans="2:7" ht="15" thickBot="1" x14ac:dyDescent="0.4">
      <c r="B36" s="151"/>
      <c r="C36" s="152"/>
      <c r="D36" s="120"/>
      <c r="E36" s="229"/>
      <c r="F36" s="139"/>
      <c r="G36" s="156"/>
    </row>
    <row r="37" spans="2:7" ht="15" thickBot="1" x14ac:dyDescent="0.4">
      <c r="B37" s="151"/>
      <c r="C37" s="152"/>
      <c r="D37" s="120"/>
      <c r="E37" s="229"/>
      <c r="F37" s="139"/>
      <c r="G37" s="156"/>
    </row>
    <row r="38" spans="2:7" ht="15" thickBot="1" x14ac:dyDescent="0.4">
      <c r="B38" s="153"/>
      <c r="C38" s="154"/>
      <c r="D38" s="155"/>
      <c r="E38" s="229"/>
      <c r="F38" s="139"/>
      <c r="G38" s="156"/>
    </row>
  </sheetData>
  <mergeCells count="7">
    <mergeCell ref="B3:J3"/>
    <mergeCell ref="B4:J4"/>
    <mergeCell ref="B1:G2"/>
    <mergeCell ref="I1:J1"/>
    <mergeCell ref="K1:L1"/>
    <mergeCell ref="I2:J2"/>
    <mergeCell ref="K2:L2"/>
  </mergeCells>
  <conditionalFormatting sqref="B3:B4">
    <cfRule type="expression" dxfId="6" priority="1">
      <formula>ISERROR($L3)</formula>
    </cfRule>
  </conditionalFormatting>
  <dataValidations count="4">
    <dataValidation type="list" allowBlank="1" showInputMessage="1" showErrorMessage="1" sqref="B8:B21" xr:uid="{00000000-0002-0000-0600-000000000000}">
      <formula1>INDIRECT(SUBSTITUTE($B$6," ",""))</formula1>
    </dataValidation>
    <dataValidation type="list" allowBlank="1" showInputMessage="1" showErrorMessage="1" sqref="C8:C21" xr:uid="{00000000-0002-0000-0600-000001000000}">
      <formula1>INDIRECT(CONCATENATE(SUBSTITUTE(B8," ","")&amp;SUBSTITUTE(C$7," ","")))</formula1>
    </dataValidation>
    <dataValidation type="list" allowBlank="1" showInputMessage="1" showErrorMessage="1" sqref="B25:B38" xr:uid="{00000000-0002-0000-0600-000002000000}">
      <formula1>INDIRECT(SUBSTITUTE($B$23," ",""))</formula1>
    </dataValidation>
    <dataValidation type="list" allowBlank="1" showInputMessage="1" showErrorMessage="1" sqref="C25:C38" xr:uid="{00000000-0002-0000-0600-000003000000}">
      <formula1>INDIRECT(CONCATENATE(SUBSTITUTE(B25," ","")&amp;SUBSTITUTE(C$24," ","")))</formula1>
    </dataValidation>
  </dataValidations>
  <pageMargins left="0.7" right="0.7" top="0.75" bottom="0.75" header="0.3" footer="0.3"/>
  <pageSetup paperSize="8" scale="61" fitToHeight="0" orientation="landscape" r:id="rId1"/>
  <headerFooter alignWithMargins="0"/>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7" tint="0.79998168889431442"/>
    <pageSetUpPr fitToPage="1"/>
  </sheetPr>
  <dimension ref="A1:BA381"/>
  <sheetViews>
    <sheetView zoomScale="85" workbookViewId="0">
      <pane xSplit="10" ySplit="2" topLeftCell="Q3" activePane="bottomRight" state="frozen"/>
      <selection pane="topRight"/>
      <selection pane="bottomLeft"/>
      <selection pane="bottomRight" activeCell="C2" sqref="C2"/>
    </sheetView>
  </sheetViews>
  <sheetFormatPr defaultColWidth="8.81640625" defaultRowHeight="14.5" x14ac:dyDescent="0.35"/>
  <cols>
    <col min="1" max="9" width="6.1796875" style="1" customWidth="1"/>
    <col min="10" max="10" width="15" style="1" customWidth="1"/>
    <col min="11" max="11" width="22.453125" style="1" customWidth="1"/>
    <col min="12" max="12" width="13.453125" style="1" bestFit="1" customWidth="1"/>
    <col min="13" max="13" width="9.7265625" style="1" bestFit="1" customWidth="1"/>
    <col min="14" max="14" width="15" style="1" bestFit="1" customWidth="1"/>
    <col min="15" max="15" width="9.453125" style="1" bestFit="1" customWidth="1"/>
    <col min="16" max="16" width="11.7265625" style="1" bestFit="1" customWidth="1"/>
    <col min="17" max="17" width="9.7265625" style="1" bestFit="1" customWidth="1"/>
    <col min="18" max="18" width="13.453125" style="1" bestFit="1" customWidth="1"/>
    <col min="19" max="19" width="10.7265625" style="1" bestFit="1" customWidth="1"/>
    <col min="20" max="21" width="11.7265625" style="1" bestFit="1" customWidth="1"/>
    <col min="22" max="22" width="14.7265625" style="1" bestFit="1" customWidth="1"/>
    <col min="23" max="29" width="3.26953125" style="1" bestFit="1" customWidth="1"/>
    <col min="30" max="32" width="5.7265625" style="1" bestFit="1" customWidth="1"/>
    <col min="33" max="36" width="3.26953125" style="1" bestFit="1" customWidth="1"/>
    <col min="37" max="37" width="5.7265625" style="1" bestFit="1" customWidth="1"/>
    <col min="38" max="38" width="3.26953125" style="1" bestFit="1" customWidth="1"/>
    <col min="39" max="39" width="5.7265625" style="1" bestFit="1" customWidth="1"/>
    <col min="40" max="40" width="3.26953125" style="1" bestFit="1" customWidth="1"/>
    <col min="41" max="41" width="5.7265625" style="1" bestFit="1" customWidth="1"/>
    <col min="42" max="42" width="3.26953125" style="1" bestFit="1" customWidth="1"/>
    <col min="43" max="43" width="5.7265625" style="1" bestFit="1" customWidth="1"/>
    <col min="44" max="44" width="3.26953125" style="1" bestFit="1" customWidth="1"/>
    <col min="45" max="45" width="5.7265625" style="1" bestFit="1" customWidth="1"/>
    <col min="46" max="50" width="3.26953125" style="1" bestFit="1" customWidth="1"/>
    <col min="51" max="51" width="8.1796875" style="1" bestFit="1" customWidth="1"/>
    <col min="52" max="52" width="13" style="1" bestFit="1" customWidth="1"/>
    <col min="53" max="53" width="28.54296875" style="1" customWidth="1"/>
    <col min="54" max="54" width="8.81640625" style="1" customWidth="1"/>
    <col min="55" max="16384" width="8.81640625" style="1"/>
  </cols>
  <sheetData>
    <row r="1" spans="1:53" ht="15" thickBot="1" x14ac:dyDescent="0.4">
      <c r="D1" s="13"/>
      <c r="K1" s="226"/>
      <c r="P1" s="13"/>
      <c r="U1" s="26"/>
      <c r="V1" s="93" t="s">
        <v>782</v>
      </c>
      <c r="W1" s="364" t="s">
        <v>1051</v>
      </c>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8"/>
      <c r="AV1" s="364" t="s">
        <v>268</v>
      </c>
      <c r="AW1" s="307"/>
      <c r="AX1" s="308"/>
      <c r="AY1" s="109"/>
      <c r="AZ1" s="109"/>
      <c r="BA1" s="54"/>
    </row>
    <row r="2" spans="1:53" ht="92.5" thickBot="1" x14ac:dyDescent="0.4">
      <c r="A2" s="25" t="s">
        <v>52</v>
      </c>
      <c r="B2" s="25" t="s">
        <v>84</v>
      </c>
      <c r="C2" s="25" t="s">
        <v>269</v>
      </c>
      <c r="D2" s="25" t="s">
        <v>93</v>
      </c>
      <c r="E2" s="25" t="s">
        <v>18</v>
      </c>
      <c r="F2" s="25" t="s">
        <v>15</v>
      </c>
      <c r="G2" s="25" t="s">
        <v>16</v>
      </c>
      <c r="H2" s="25" t="s">
        <v>17</v>
      </c>
      <c r="I2" s="136" t="s">
        <v>270</v>
      </c>
      <c r="J2" s="11" t="s">
        <v>88</v>
      </c>
      <c r="K2" s="11" t="s">
        <v>56</v>
      </c>
      <c r="L2" s="11" t="s">
        <v>96</v>
      </c>
      <c r="M2" s="11" t="s">
        <v>62</v>
      </c>
      <c r="N2" s="11" t="s">
        <v>271</v>
      </c>
      <c r="O2" s="11" t="s">
        <v>61</v>
      </c>
      <c r="P2" s="8" t="s">
        <v>7</v>
      </c>
      <c r="Q2" s="8" t="s">
        <v>65</v>
      </c>
      <c r="R2" s="8" t="s">
        <v>66</v>
      </c>
      <c r="S2" s="8" t="s">
        <v>67</v>
      </c>
      <c r="T2" s="8" t="s">
        <v>68</v>
      </c>
      <c r="U2" s="8" t="s">
        <v>10</v>
      </c>
      <c r="V2" s="8" t="s">
        <v>63</v>
      </c>
      <c r="W2" s="92" t="s">
        <v>272</v>
      </c>
      <c r="X2" s="92" t="s">
        <v>954</v>
      </c>
      <c r="Y2" s="33" t="s">
        <v>273</v>
      </c>
      <c r="Z2" s="33" t="s">
        <v>274</v>
      </c>
      <c r="AA2" s="33" t="s">
        <v>275</v>
      </c>
      <c r="AB2" s="33" t="s">
        <v>276</v>
      </c>
      <c r="AC2" s="33" t="s">
        <v>277</v>
      </c>
      <c r="AD2" s="33" t="s">
        <v>278</v>
      </c>
      <c r="AE2" s="33" t="s">
        <v>279</v>
      </c>
      <c r="AF2" s="33" t="s">
        <v>280</v>
      </c>
      <c r="AG2" s="33" t="s">
        <v>281</v>
      </c>
      <c r="AH2" s="33" t="s">
        <v>282</v>
      </c>
      <c r="AI2" s="33" t="s">
        <v>283</v>
      </c>
      <c r="AJ2" s="33" t="s">
        <v>284</v>
      </c>
      <c r="AK2" s="33" t="s">
        <v>285</v>
      </c>
      <c r="AL2" s="33" t="s">
        <v>286</v>
      </c>
      <c r="AM2" s="33" t="s">
        <v>287</v>
      </c>
      <c r="AN2" s="33" t="s">
        <v>288</v>
      </c>
      <c r="AO2" s="33" t="s">
        <v>289</v>
      </c>
      <c r="AP2" s="33" t="s">
        <v>683</v>
      </c>
      <c r="AQ2" s="33" t="s">
        <v>682</v>
      </c>
      <c r="AR2" s="33" t="s">
        <v>290</v>
      </c>
      <c r="AS2" s="33" t="s">
        <v>291</v>
      </c>
      <c r="AT2" s="33" t="s">
        <v>17</v>
      </c>
      <c r="AU2" s="33" t="s">
        <v>10</v>
      </c>
      <c r="AV2" s="33" t="s">
        <v>292</v>
      </c>
      <c r="AW2" s="33" t="s">
        <v>293</v>
      </c>
      <c r="AX2" s="33" t="s">
        <v>294</v>
      </c>
      <c r="AY2" s="33" t="s">
        <v>295</v>
      </c>
      <c r="AZ2" s="33" t="s">
        <v>1044</v>
      </c>
      <c r="BA2" s="17"/>
    </row>
    <row r="3" spans="1:53" ht="52.5" thickBot="1" x14ac:dyDescent="0.4">
      <c r="A3" s="24" t="s">
        <v>296</v>
      </c>
      <c r="B3" s="24" t="s">
        <v>297</v>
      </c>
      <c r="C3" s="24" t="s">
        <v>297</v>
      </c>
      <c r="D3" s="24" t="s">
        <v>297</v>
      </c>
      <c r="E3" s="24" t="s">
        <v>297</v>
      </c>
      <c r="F3" s="24" t="s">
        <v>297</v>
      </c>
      <c r="G3" s="24" t="s">
        <v>297</v>
      </c>
      <c r="H3" s="24" t="s">
        <v>297</v>
      </c>
      <c r="I3" s="24" t="s">
        <v>297</v>
      </c>
      <c r="J3" s="4" t="s">
        <v>70</v>
      </c>
      <c r="K3" s="5" t="s">
        <v>71</v>
      </c>
      <c r="L3" s="5" t="s">
        <v>298</v>
      </c>
      <c r="M3" s="5" t="s">
        <v>73</v>
      </c>
      <c r="N3" s="5" t="s">
        <v>299</v>
      </c>
      <c r="O3" s="286">
        <f>(0.8*14.01)</f>
        <v>11.208</v>
      </c>
      <c r="P3" s="287">
        <v>0.18290000000000001</v>
      </c>
      <c r="Q3" s="91"/>
      <c r="R3" s="91"/>
      <c r="S3" s="91"/>
      <c r="T3" s="288">
        <v>3.0210000000000001E-2</v>
      </c>
      <c r="U3" s="91"/>
      <c r="V3" s="99">
        <f t="shared" ref="V3:V34" si="0">SUM(P3:U3)</f>
        <v>0.21311000000000002</v>
      </c>
      <c r="W3" s="24" t="s">
        <v>296</v>
      </c>
      <c r="X3" s="24"/>
      <c r="Y3" s="24"/>
      <c r="Z3" s="24"/>
      <c r="AA3" s="24"/>
      <c r="AB3" s="24" t="s">
        <v>296</v>
      </c>
      <c r="AC3" s="24"/>
      <c r="AD3" s="24"/>
      <c r="AE3" s="24"/>
      <c r="AF3" s="34"/>
      <c r="AG3" s="34"/>
      <c r="AH3" s="34"/>
      <c r="AI3" s="34"/>
      <c r="AJ3" s="34"/>
      <c r="AK3" s="34"/>
      <c r="AL3" s="34"/>
      <c r="AM3" s="34"/>
      <c r="AN3" s="34"/>
      <c r="AO3" s="34"/>
      <c r="AP3" s="34"/>
      <c r="AQ3" s="34"/>
      <c r="AR3" s="34"/>
      <c r="AS3" s="34"/>
      <c r="AT3" s="34"/>
      <c r="AU3" s="34"/>
      <c r="AV3" s="34"/>
      <c r="AW3" s="34"/>
      <c r="AX3" s="34"/>
      <c r="AY3" s="34"/>
      <c r="AZ3" s="34"/>
      <c r="BA3" s="5" t="s">
        <v>300</v>
      </c>
    </row>
    <row r="4" spans="1:53" ht="15" thickBot="1" x14ac:dyDescent="0.4">
      <c r="A4" s="24" t="s">
        <v>296</v>
      </c>
      <c r="B4" s="24" t="s">
        <v>297</v>
      </c>
      <c r="C4" s="24" t="s">
        <v>296</v>
      </c>
      <c r="D4" s="24" t="s">
        <v>297</v>
      </c>
      <c r="E4" s="24" t="s">
        <v>297</v>
      </c>
      <c r="F4" s="24" t="s">
        <v>297</v>
      </c>
      <c r="G4" s="24" t="s">
        <v>297</v>
      </c>
      <c r="H4" s="24" t="s">
        <v>297</v>
      </c>
      <c r="I4" s="24" t="s">
        <v>297</v>
      </c>
      <c r="J4" s="4" t="s">
        <v>76</v>
      </c>
      <c r="K4" s="5" t="s">
        <v>77</v>
      </c>
      <c r="L4" s="5" t="s">
        <v>298</v>
      </c>
      <c r="M4" s="5" t="s">
        <v>73</v>
      </c>
      <c r="N4" s="5" t="s">
        <v>301</v>
      </c>
      <c r="O4" s="286">
        <v>7.28</v>
      </c>
      <c r="P4" s="287">
        <v>0.2145</v>
      </c>
      <c r="Q4" s="91"/>
      <c r="R4" s="91"/>
      <c r="S4" s="91"/>
      <c r="T4" s="288">
        <v>2.5479999999999999E-2</v>
      </c>
      <c r="U4" s="91"/>
      <c r="V4" s="99">
        <f t="shared" si="0"/>
        <v>0.23998</v>
      </c>
      <c r="W4" s="24" t="s">
        <v>296</v>
      </c>
      <c r="X4" s="34"/>
      <c r="Y4" s="34"/>
      <c r="Z4" s="34"/>
      <c r="AA4" s="34"/>
      <c r="AB4" s="34" t="s">
        <v>296</v>
      </c>
      <c r="AC4" s="34"/>
      <c r="AD4" s="34"/>
      <c r="AE4" s="34"/>
      <c r="AF4" s="34"/>
      <c r="AG4" s="34"/>
      <c r="AH4" s="34"/>
      <c r="AI4" s="34"/>
      <c r="AJ4" s="34"/>
      <c r="AK4" s="34"/>
      <c r="AL4" s="34"/>
      <c r="AM4" s="34"/>
      <c r="AN4" s="34"/>
      <c r="AO4" s="34"/>
      <c r="AP4" s="34"/>
      <c r="AQ4" s="34"/>
      <c r="AR4" s="34"/>
      <c r="AS4" s="34"/>
      <c r="AT4" s="34"/>
      <c r="AU4" s="34"/>
      <c r="AV4" s="34"/>
      <c r="AW4" s="34"/>
      <c r="AX4" s="34"/>
      <c r="AY4" s="34"/>
      <c r="AZ4" s="34"/>
      <c r="BA4" s="5"/>
    </row>
    <row r="5" spans="1:53" ht="26.5" thickBot="1" x14ac:dyDescent="0.4">
      <c r="A5" s="24" t="s">
        <v>296</v>
      </c>
      <c r="B5" s="24" t="s">
        <v>297</v>
      </c>
      <c r="C5" s="24" t="s">
        <v>297</v>
      </c>
      <c r="D5" s="24" t="s">
        <v>297</v>
      </c>
      <c r="E5" s="24" t="s">
        <v>297</v>
      </c>
      <c r="F5" s="24" t="s">
        <v>297</v>
      </c>
      <c r="G5" s="24" t="s">
        <v>297</v>
      </c>
      <c r="H5" s="24" t="s">
        <v>297</v>
      </c>
      <c r="I5" s="24" t="s">
        <v>297</v>
      </c>
      <c r="J5" s="4" t="s">
        <v>82</v>
      </c>
      <c r="K5" s="5" t="s">
        <v>83</v>
      </c>
      <c r="L5" s="5" t="s">
        <v>298</v>
      </c>
      <c r="M5" s="5" t="s">
        <v>73</v>
      </c>
      <c r="N5" s="5" t="s">
        <v>301</v>
      </c>
      <c r="O5" s="286">
        <v>10.301</v>
      </c>
      <c r="P5" s="287">
        <v>0.24676999999999999</v>
      </c>
      <c r="Q5" s="91"/>
      <c r="R5" s="91"/>
      <c r="S5" s="91"/>
      <c r="T5" s="288">
        <v>5.1529999999999999E-2</v>
      </c>
      <c r="U5" s="91"/>
      <c r="V5" s="99">
        <f t="shared" si="0"/>
        <v>0.29830000000000001</v>
      </c>
      <c r="W5" s="24" t="s">
        <v>296</v>
      </c>
      <c r="X5" s="34"/>
      <c r="Y5" s="34"/>
      <c r="Z5" s="34"/>
      <c r="AA5" s="34"/>
      <c r="AB5" s="34" t="s">
        <v>296</v>
      </c>
      <c r="AC5" s="34"/>
      <c r="AD5" s="34"/>
      <c r="AE5" s="34"/>
      <c r="AF5" s="34"/>
      <c r="AG5" s="34"/>
      <c r="AH5" s="34"/>
      <c r="AI5" s="34"/>
      <c r="AJ5" s="34"/>
      <c r="AK5" s="34"/>
      <c r="AL5" s="34"/>
      <c r="AM5" s="34"/>
      <c r="AN5" s="34"/>
      <c r="AO5" s="34"/>
      <c r="AP5" s="34"/>
      <c r="AQ5" s="34"/>
      <c r="AR5" s="34"/>
      <c r="AS5" s="34"/>
      <c r="AT5" s="34"/>
      <c r="AU5" s="34"/>
      <c r="AV5" s="34"/>
      <c r="AW5" s="34"/>
      <c r="AX5" s="34"/>
      <c r="AY5" s="34"/>
      <c r="AZ5" s="34"/>
      <c r="BA5" s="5" t="s">
        <v>970</v>
      </c>
    </row>
    <row r="6" spans="1:53" ht="15" thickBot="1" x14ac:dyDescent="0.4">
      <c r="A6" s="24" t="s">
        <v>296</v>
      </c>
      <c r="B6" s="24" t="s">
        <v>297</v>
      </c>
      <c r="C6" s="24" t="s">
        <v>296</v>
      </c>
      <c r="D6" s="24" t="s">
        <v>297</v>
      </c>
      <c r="E6" s="24" t="s">
        <v>297</v>
      </c>
      <c r="F6" s="24" t="s">
        <v>297</v>
      </c>
      <c r="G6" s="24" t="s">
        <v>297</v>
      </c>
      <c r="H6" s="24" t="s">
        <v>297</v>
      </c>
      <c r="I6" s="24" t="s">
        <v>297</v>
      </c>
      <c r="J6" s="4" t="s">
        <v>78</v>
      </c>
      <c r="K6" s="5" t="s">
        <v>79</v>
      </c>
      <c r="L6" s="5" t="s">
        <v>298</v>
      </c>
      <c r="M6" s="5" t="s">
        <v>73</v>
      </c>
      <c r="N6" s="5" t="s">
        <v>301</v>
      </c>
      <c r="O6" s="286">
        <v>10.598000000000001</v>
      </c>
      <c r="P6" s="287">
        <v>0.25649</v>
      </c>
      <c r="Q6" s="91"/>
      <c r="R6" s="91"/>
      <c r="S6" s="91"/>
      <c r="T6" s="288">
        <v>5.9130000000000002E-2</v>
      </c>
      <c r="U6" s="91"/>
      <c r="V6" s="99">
        <f t="shared" si="0"/>
        <v>0.31562000000000001</v>
      </c>
      <c r="W6" s="34" t="s">
        <v>296</v>
      </c>
      <c r="X6" s="34"/>
      <c r="Y6" s="34"/>
      <c r="Z6" s="34"/>
      <c r="AA6" s="34"/>
      <c r="AB6" s="34" t="s">
        <v>296</v>
      </c>
      <c r="AC6" s="34"/>
      <c r="AD6" s="34"/>
      <c r="AE6" s="34"/>
      <c r="AF6" s="34"/>
      <c r="AG6" s="34"/>
      <c r="AH6" s="34"/>
      <c r="AI6" s="34"/>
      <c r="AJ6" s="34"/>
      <c r="AK6" s="34"/>
      <c r="AL6" s="34"/>
      <c r="AM6" s="34"/>
      <c r="AN6" s="34"/>
      <c r="AO6" s="34"/>
      <c r="AP6" s="34"/>
      <c r="AQ6" s="34"/>
      <c r="AR6" s="34"/>
      <c r="AS6" s="34"/>
      <c r="AT6" s="34"/>
      <c r="AU6" s="34"/>
      <c r="AV6" s="34"/>
      <c r="AW6" s="34"/>
      <c r="AX6" s="34"/>
      <c r="AY6" s="34"/>
      <c r="AZ6" s="34"/>
      <c r="BA6" s="5"/>
    </row>
    <row r="7" spans="1:53" ht="15" thickBot="1" x14ac:dyDescent="0.4">
      <c r="A7" s="24" t="s">
        <v>296</v>
      </c>
      <c r="B7" s="24" t="s">
        <v>297</v>
      </c>
      <c r="C7" s="24" t="s">
        <v>297</v>
      </c>
      <c r="D7" s="24" t="s">
        <v>297</v>
      </c>
      <c r="E7" s="24" t="s">
        <v>297</v>
      </c>
      <c r="F7" s="24" t="s">
        <v>297</v>
      </c>
      <c r="G7" s="24" t="s">
        <v>297</v>
      </c>
      <c r="H7" s="24" t="s">
        <v>297</v>
      </c>
      <c r="I7" s="24" t="s">
        <v>297</v>
      </c>
      <c r="J7" s="4" t="s">
        <v>273</v>
      </c>
      <c r="K7" s="5" t="s">
        <v>302</v>
      </c>
      <c r="L7" s="5" t="s">
        <v>298</v>
      </c>
      <c r="M7" s="5" t="s">
        <v>73</v>
      </c>
      <c r="N7" s="5" t="s">
        <v>105</v>
      </c>
      <c r="O7" s="286">
        <f>5.193*1000</f>
        <v>5193</v>
      </c>
      <c r="P7" s="288">
        <v>1.132E-2</v>
      </c>
      <c r="Q7" s="91"/>
      <c r="R7" s="91"/>
      <c r="S7" s="91"/>
      <c r="T7" s="288">
        <v>3.7440000000000001E-2</v>
      </c>
      <c r="U7" s="295">
        <v>0.35</v>
      </c>
      <c r="V7" s="99">
        <f t="shared" si="0"/>
        <v>0.39876</v>
      </c>
      <c r="W7" s="34"/>
      <c r="X7" s="34"/>
      <c r="Y7" s="34" t="s">
        <v>296</v>
      </c>
      <c r="Z7" s="34"/>
      <c r="AA7" s="34"/>
      <c r="AB7" s="34"/>
      <c r="AC7" s="34" t="s">
        <v>296</v>
      </c>
      <c r="AD7" s="34"/>
      <c r="AE7" s="34"/>
      <c r="AF7" s="34"/>
      <c r="AG7" s="34"/>
      <c r="AH7" s="34"/>
      <c r="AI7" s="34"/>
      <c r="AJ7" s="34"/>
      <c r="AK7" s="34"/>
      <c r="AL7" s="34"/>
      <c r="AM7" s="34"/>
      <c r="AN7" s="34"/>
      <c r="AO7" s="34"/>
      <c r="AP7" s="34"/>
      <c r="AQ7" s="34"/>
      <c r="AR7" s="34"/>
      <c r="AS7" s="34"/>
      <c r="AT7" s="34"/>
      <c r="AU7" s="34" t="s">
        <v>296</v>
      </c>
      <c r="AV7" s="34"/>
      <c r="AW7" s="34"/>
      <c r="AX7" s="34"/>
      <c r="AY7" s="34"/>
      <c r="AZ7" s="34"/>
      <c r="BA7" s="5"/>
    </row>
    <row r="8" spans="1:53" ht="15" thickBot="1" x14ac:dyDescent="0.4">
      <c r="A8" s="24" t="s">
        <v>296</v>
      </c>
      <c r="B8" s="24" t="s">
        <v>297</v>
      </c>
      <c r="C8" s="24" t="s">
        <v>297</v>
      </c>
      <c r="D8" s="24" t="s">
        <v>297</v>
      </c>
      <c r="E8" s="24" t="s">
        <v>297</v>
      </c>
      <c r="F8" s="24" t="s">
        <v>297</v>
      </c>
      <c r="G8" s="24" t="s">
        <v>297</v>
      </c>
      <c r="H8" s="24" t="s">
        <v>297</v>
      </c>
      <c r="I8" s="24" t="s">
        <v>297</v>
      </c>
      <c r="J8" s="4" t="s">
        <v>273</v>
      </c>
      <c r="K8" s="5" t="s">
        <v>303</v>
      </c>
      <c r="L8" s="5" t="s">
        <v>298</v>
      </c>
      <c r="M8" s="5" t="s">
        <v>73</v>
      </c>
      <c r="N8" s="5" t="s">
        <v>105</v>
      </c>
      <c r="O8" s="286">
        <f>4.087*1000</f>
        <v>4086.9999999999995</v>
      </c>
      <c r="P8" s="288">
        <v>1.132E-2</v>
      </c>
      <c r="Q8" s="91"/>
      <c r="R8" s="91"/>
      <c r="S8" s="91"/>
      <c r="T8" s="288">
        <v>7.92E-3</v>
      </c>
      <c r="U8" s="295">
        <v>0.35</v>
      </c>
      <c r="V8" s="99">
        <f t="shared" si="0"/>
        <v>0.36923999999999996</v>
      </c>
      <c r="W8" s="34"/>
      <c r="X8" s="34"/>
      <c r="Y8" s="34" t="s">
        <v>296</v>
      </c>
      <c r="Z8" s="34"/>
      <c r="AA8" s="34"/>
      <c r="AB8" s="34"/>
      <c r="AC8" s="34" t="s">
        <v>296</v>
      </c>
      <c r="AD8" s="34"/>
      <c r="AE8" s="34"/>
      <c r="AF8" s="34"/>
      <c r="AG8" s="34"/>
      <c r="AH8" s="34"/>
      <c r="AI8" s="34"/>
      <c r="AJ8" s="34"/>
      <c r="AK8" s="34"/>
      <c r="AL8" s="34"/>
      <c r="AM8" s="34"/>
      <c r="AN8" s="34"/>
      <c r="AO8" s="34"/>
      <c r="AP8" s="34"/>
      <c r="AQ8" s="34"/>
      <c r="AR8" s="34"/>
      <c r="AS8" s="34"/>
      <c r="AT8" s="34"/>
      <c r="AU8" s="34" t="s">
        <v>296</v>
      </c>
      <c r="AV8" s="34"/>
      <c r="AW8" s="34"/>
      <c r="AX8" s="34"/>
      <c r="AY8" s="34"/>
      <c r="AZ8" s="34"/>
      <c r="BA8" s="5"/>
    </row>
    <row r="9" spans="1:53" ht="15" thickBot="1" x14ac:dyDescent="0.4">
      <c r="A9" s="24" t="s">
        <v>296</v>
      </c>
      <c r="B9" s="24" t="s">
        <v>297</v>
      </c>
      <c r="C9" s="24" t="s">
        <v>297</v>
      </c>
      <c r="D9" s="24" t="s">
        <v>297</v>
      </c>
      <c r="E9" s="24" t="s">
        <v>297</v>
      </c>
      <c r="F9" s="24" t="s">
        <v>297</v>
      </c>
      <c r="G9" s="24" t="s">
        <v>297</v>
      </c>
      <c r="H9" s="24" t="s">
        <v>297</v>
      </c>
      <c r="I9" s="24" t="s">
        <v>297</v>
      </c>
      <c r="J9" s="4" t="s">
        <v>273</v>
      </c>
      <c r="K9" s="5" t="s">
        <v>304</v>
      </c>
      <c r="L9" s="5" t="s">
        <v>298</v>
      </c>
      <c r="M9" s="5" t="s">
        <v>73</v>
      </c>
      <c r="N9" s="5" t="s">
        <v>105</v>
      </c>
      <c r="O9" s="286">
        <f>6.105*1000</f>
        <v>6105</v>
      </c>
      <c r="P9" s="288">
        <v>2.3000000000000001E-4</v>
      </c>
      <c r="Q9" s="91"/>
      <c r="R9" s="91"/>
      <c r="S9" s="91"/>
      <c r="T9" s="288">
        <v>1.8509999999999999E-2</v>
      </c>
      <c r="U9" s="295">
        <v>0.19902</v>
      </c>
      <c r="V9" s="99">
        <f t="shared" si="0"/>
        <v>0.21776000000000001</v>
      </c>
      <c r="W9" s="34"/>
      <c r="X9" s="34"/>
      <c r="Y9" s="34" t="s">
        <v>296</v>
      </c>
      <c r="Z9" s="34"/>
      <c r="AA9" s="34"/>
      <c r="AB9" s="34"/>
      <c r="AC9" s="34" t="s">
        <v>296</v>
      </c>
      <c r="AD9" s="34"/>
      <c r="AE9" s="34"/>
      <c r="AF9" s="34"/>
      <c r="AG9" s="34"/>
      <c r="AH9" s="34"/>
      <c r="AI9" s="34"/>
      <c r="AJ9" s="34"/>
      <c r="AK9" s="34"/>
      <c r="AL9" s="34"/>
      <c r="AM9" s="34"/>
      <c r="AN9" s="34"/>
      <c r="AO9" s="34"/>
      <c r="AP9" s="34"/>
      <c r="AQ9" s="34"/>
      <c r="AR9" s="34"/>
      <c r="AS9" s="34"/>
      <c r="AT9" s="34"/>
      <c r="AU9" s="34" t="s">
        <v>296</v>
      </c>
      <c r="AV9" s="34"/>
      <c r="AW9" s="34"/>
      <c r="AX9" s="34"/>
      <c r="AY9" s="34"/>
      <c r="AZ9" s="34"/>
      <c r="BA9" s="5"/>
    </row>
    <row r="10" spans="1:53" ht="15" thickBot="1" x14ac:dyDescent="0.4">
      <c r="A10" s="24" t="s">
        <v>296</v>
      </c>
      <c r="B10" s="24" t="s">
        <v>297</v>
      </c>
      <c r="C10" s="24" t="s">
        <v>297</v>
      </c>
      <c r="D10" s="24" t="s">
        <v>297</v>
      </c>
      <c r="E10" s="24" t="s">
        <v>297</v>
      </c>
      <c r="F10" s="24" t="s">
        <v>297</v>
      </c>
      <c r="G10" s="24" t="s">
        <v>297</v>
      </c>
      <c r="H10" s="24" t="s">
        <v>297</v>
      </c>
      <c r="I10" s="24" t="s">
        <v>297</v>
      </c>
      <c r="J10" s="4" t="s">
        <v>426</v>
      </c>
      <c r="K10" s="5" t="s">
        <v>377</v>
      </c>
      <c r="L10" s="5" t="s">
        <v>298</v>
      </c>
      <c r="M10" s="5" t="s">
        <v>73</v>
      </c>
      <c r="N10" s="5" t="s">
        <v>105</v>
      </c>
      <c r="O10" s="286">
        <f>8.366*1000</f>
        <v>8366</v>
      </c>
      <c r="P10" s="287">
        <v>0.34721000000000002</v>
      </c>
      <c r="Q10" s="91"/>
      <c r="R10" s="91"/>
      <c r="S10" s="91"/>
      <c r="T10" s="288">
        <v>5.629E-2</v>
      </c>
      <c r="U10" s="91"/>
      <c r="V10" s="99">
        <f t="shared" si="0"/>
        <v>0.40350000000000003</v>
      </c>
      <c r="W10" s="34" t="s">
        <v>296</v>
      </c>
      <c r="X10" s="34"/>
      <c r="Y10" s="34"/>
      <c r="Z10" s="34"/>
      <c r="AA10" s="34"/>
      <c r="AB10" s="34" t="s">
        <v>296</v>
      </c>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5"/>
    </row>
    <row r="11" spans="1:53" ht="65.5" thickBot="1" x14ac:dyDescent="0.4">
      <c r="A11" s="24" t="s">
        <v>296</v>
      </c>
      <c r="B11" s="24" t="s">
        <v>296</v>
      </c>
      <c r="C11" s="24" t="s">
        <v>296</v>
      </c>
      <c r="D11" s="24" t="s">
        <v>297</v>
      </c>
      <c r="E11" s="24" t="s">
        <v>297</v>
      </c>
      <c r="F11" s="24" t="s">
        <v>296</v>
      </c>
      <c r="G11" s="24" t="s">
        <v>296</v>
      </c>
      <c r="H11" s="24" t="s">
        <v>297</v>
      </c>
      <c r="I11" s="24" t="s">
        <v>297</v>
      </c>
      <c r="J11" s="4" t="s">
        <v>80</v>
      </c>
      <c r="K11" s="5" t="s">
        <v>81</v>
      </c>
      <c r="L11" s="5"/>
      <c r="M11" s="5" t="s">
        <v>73</v>
      </c>
      <c r="N11" s="5"/>
      <c r="O11" s="5"/>
      <c r="P11" s="91"/>
      <c r="Q11" s="287">
        <v>0.20705000000000001</v>
      </c>
      <c r="R11" s="91"/>
      <c r="S11" s="287">
        <v>1.83E-2</v>
      </c>
      <c r="T11" s="288">
        <v>4.5900000000000003E-2</v>
      </c>
      <c r="U11" s="295">
        <f>0.115069241546259</f>
        <v>0.115069241546259</v>
      </c>
      <c r="V11" s="99">
        <f t="shared" si="0"/>
        <v>0.38631924154625907</v>
      </c>
      <c r="W11" s="34"/>
      <c r="X11" s="34"/>
      <c r="Y11" s="34"/>
      <c r="Z11" s="34" t="s">
        <v>296</v>
      </c>
      <c r="AA11" s="34"/>
      <c r="AB11" s="34"/>
      <c r="AC11" s="34"/>
      <c r="AD11" s="34" t="s">
        <v>296</v>
      </c>
      <c r="AE11" s="34" t="s">
        <v>296</v>
      </c>
      <c r="AF11" s="34"/>
      <c r="AG11" s="34"/>
      <c r="AH11" s="34"/>
      <c r="AI11" s="34"/>
      <c r="AJ11" s="34"/>
      <c r="AK11" s="34"/>
      <c r="AL11" s="34"/>
      <c r="AM11" s="34"/>
      <c r="AN11" s="34"/>
      <c r="AO11" s="34"/>
      <c r="AP11" s="34"/>
      <c r="AQ11" s="34"/>
      <c r="AR11" s="34"/>
      <c r="AS11" s="34"/>
      <c r="AT11" s="34"/>
      <c r="AU11" s="34"/>
      <c r="AV11" s="34"/>
      <c r="AW11" s="34"/>
      <c r="AX11" s="34"/>
      <c r="AY11" s="34"/>
      <c r="AZ11" s="34"/>
      <c r="BA11" s="5" t="s">
        <v>305</v>
      </c>
    </row>
    <row r="12" spans="1:53" ht="26.5" thickBot="1" x14ac:dyDescent="0.4">
      <c r="A12" s="24" t="s">
        <v>296</v>
      </c>
      <c r="B12" s="24" t="s">
        <v>297</v>
      </c>
      <c r="C12" s="24" t="s">
        <v>297</v>
      </c>
      <c r="D12" s="24" t="s">
        <v>297</v>
      </c>
      <c r="E12" s="24" t="s">
        <v>297</v>
      </c>
      <c r="F12" s="24" t="s">
        <v>297</v>
      </c>
      <c r="G12" s="24" t="s">
        <v>297</v>
      </c>
      <c r="H12" s="24" t="s">
        <v>297</v>
      </c>
      <c r="I12" s="24" t="s">
        <v>297</v>
      </c>
      <c r="J12" s="4" t="s">
        <v>275</v>
      </c>
      <c r="K12" s="5" t="s">
        <v>306</v>
      </c>
      <c r="L12" s="5"/>
      <c r="M12" s="5" t="s">
        <v>73</v>
      </c>
      <c r="N12" s="5"/>
      <c r="O12" s="5"/>
      <c r="P12" s="91"/>
      <c r="Q12" s="287">
        <v>0.17965</v>
      </c>
      <c r="R12" s="91"/>
      <c r="S12" s="91"/>
      <c r="T12" s="288">
        <v>3.3410000000000002E-2</v>
      </c>
      <c r="U12" s="91"/>
      <c r="V12" s="99">
        <f t="shared" si="0"/>
        <v>0.21306</v>
      </c>
      <c r="W12" s="34"/>
      <c r="X12" s="34"/>
      <c r="Y12" s="34"/>
      <c r="Z12" s="34"/>
      <c r="AA12" s="34" t="s">
        <v>296</v>
      </c>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5" t="s">
        <v>307</v>
      </c>
    </row>
    <row r="13" spans="1:53" ht="39.5" thickBot="1" x14ac:dyDescent="0.4">
      <c r="A13" s="24" t="s">
        <v>296</v>
      </c>
      <c r="B13" s="24" t="s">
        <v>297</v>
      </c>
      <c r="C13" s="24" t="s">
        <v>297</v>
      </c>
      <c r="D13" s="24" t="s">
        <v>297</v>
      </c>
      <c r="E13" s="24" t="s">
        <v>297</v>
      </c>
      <c r="F13" s="24" t="s">
        <v>297</v>
      </c>
      <c r="G13" s="24" t="s">
        <v>297</v>
      </c>
      <c r="H13" s="24" t="s">
        <v>297</v>
      </c>
      <c r="I13" s="24" t="s">
        <v>297</v>
      </c>
      <c r="J13" s="4" t="s">
        <v>275</v>
      </c>
      <c r="K13" s="5" t="s">
        <v>308</v>
      </c>
      <c r="L13" s="5"/>
      <c r="M13" s="5" t="s">
        <v>73</v>
      </c>
      <c r="N13" s="5"/>
      <c r="O13" s="5"/>
      <c r="P13" s="91"/>
      <c r="Q13" s="287">
        <v>0.17964657181208055</v>
      </c>
      <c r="R13" s="91"/>
      <c r="S13" s="295">
        <v>9.4599999999999997E-3</v>
      </c>
      <c r="T13" s="288">
        <v>3.3410000000000002E-2</v>
      </c>
      <c r="U13" s="91"/>
      <c r="V13" s="99">
        <f t="shared" si="0"/>
        <v>0.22251657181208054</v>
      </c>
      <c r="W13" s="34"/>
      <c r="X13" s="34"/>
      <c r="Y13" s="34"/>
      <c r="Z13" s="34"/>
      <c r="AA13" s="34" t="s">
        <v>296</v>
      </c>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5" t="s">
        <v>309</v>
      </c>
    </row>
    <row r="14" spans="1:53" ht="15" thickBot="1" x14ac:dyDescent="0.4">
      <c r="A14" s="24" t="s">
        <v>296</v>
      </c>
      <c r="B14" s="24" t="s">
        <v>297</v>
      </c>
      <c r="C14" s="24" t="s">
        <v>297</v>
      </c>
      <c r="D14" s="24" t="s">
        <v>297</v>
      </c>
      <c r="E14" s="24" t="s">
        <v>297</v>
      </c>
      <c r="F14" s="24" t="s">
        <v>297</v>
      </c>
      <c r="G14" s="24" t="s">
        <v>297</v>
      </c>
      <c r="H14" s="24" t="s">
        <v>297</v>
      </c>
      <c r="I14" s="24" t="s">
        <v>297</v>
      </c>
      <c r="J14" s="4" t="s">
        <v>310</v>
      </c>
      <c r="K14" s="5" t="s">
        <v>311</v>
      </c>
      <c r="L14" s="5"/>
      <c r="M14" s="5" t="s">
        <v>299</v>
      </c>
      <c r="N14" s="5" t="s">
        <v>301</v>
      </c>
      <c r="O14" s="286">
        <v>1E-3</v>
      </c>
      <c r="P14" s="91"/>
      <c r="Q14" s="91"/>
      <c r="R14" s="287">
        <v>0.15311</v>
      </c>
      <c r="S14" s="91"/>
      <c r="T14" s="91"/>
      <c r="U14" s="91"/>
      <c r="V14" s="99">
        <f t="shared" si="0"/>
        <v>0.15311</v>
      </c>
      <c r="W14" s="34"/>
      <c r="X14" s="34"/>
      <c r="Y14" s="34"/>
      <c r="Z14" s="34"/>
      <c r="AA14" s="34"/>
      <c r="AB14" s="34"/>
      <c r="AC14" s="34"/>
      <c r="AD14" s="34"/>
      <c r="AE14" s="34"/>
      <c r="AF14" s="34"/>
      <c r="AG14" s="34" t="s">
        <v>296</v>
      </c>
      <c r="AH14" s="34"/>
      <c r="AI14" s="34"/>
      <c r="AJ14" s="34"/>
      <c r="AK14" s="34"/>
      <c r="AL14" s="34"/>
      <c r="AM14" s="34"/>
      <c r="AN14" s="34"/>
      <c r="AO14" s="34"/>
      <c r="AP14" s="34"/>
      <c r="AQ14" s="34"/>
      <c r="AR14" s="34"/>
      <c r="AS14" s="34"/>
      <c r="AT14" s="34"/>
      <c r="AU14" s="34"/>
      <c r="AV14" s="34"/>
      <c r="AW14" s="34"/>
      <c r="AX14" s="34"/>
      <c r="AY14" s="34"/>
      <c r="AZ14" s="34"/>
      <c r="BA14" s="5"/>
    </row>
    <row r="15" spans="1:53" ht="15" thickBot="1" x14ac:dyDescent="0.4">
      <c r="A15" s="24" t="s">
        <v>296</v>
      </c>
      <c r="B15" s="24" t="s">
        <v>297</v>
      </c>
      <c r="C15" s="24" t="s">
        <v>297</v>
      </c>
      <c r="D15" s="24" t="s">
        <v>297</v>
      </c>
      <c r="E15" s="24" t="s">
        <v>297</v>
      </c>
      <c r="F15" s="24" t="s">
        <v>297</v>
      </c>
      <c r="G15" s="24" t="s">
        <v>297</v>
      </c>
      <c r="H15" s="24" t="s">
        <v>297</v>
      </c>
      <c r="I15" s="24" t="s">
        <v>297</v>
      </c>
      <c r="J15" s="4" t="s">
        <v>310</v>
      </c>
      <c r="K15" s="5" t="s">
        <v>312</v>
      </c>
      <c r="L15" s="5"/>
      <c r="M15" s="5" t="s">
        <v>299</v>
      </c>
      <c r="N15" s="5" t="s">
        <v>301</v>
      </c>
      <c r="O15" s="286">
        <v>1E-3</v>
      </c>
      <c r="P15" s="91"/>
      <c r="Q15" s="91"/>
      <c r="R15" s="287">
        <v>0.18573999999999999</v>
      </c>
      <c r="S15" s="91"/>
      <c r="T15" s="91"/>
      <c r="U15" s="91"/>
      <c r="V15" s="99">
        <f t="shared" si="0"/>
        <v>0.18573999999999999</v>
      </c>
      <c r="W15" s="34"/>
      <c r="X15" s="34"/>
      <c r="Y15" s="34"/>
      <c r="Z15" s="34"/>
      <c r="AA15" s="34"/>
      <c r="AB15" s="34"/>
      <c r="AC15" s="34"/>
      <c r="AD15" s="34"/>
      <c r="AE15" s="34"/>
      <c r="AF15" s="34"/>
      <c r="AG15" s="34"/>
      <c r="AH15" s="34" t="s">
        <v>296</v>
      </c>
      <c r="AI15" s="34"/>
      <c r="AJ15" s="34"/>
      <c r="AK15" s="34"/>
      <c r="AL15" s="34"/>
      <c r="AM15" s="34"/>
      <c r="AN15" s="34"/>
      <c r="AO15" s="34"/>
      <c r="AP15" s="34"/>
      <c r="AQ15" s="34"/>
      <c r="AR15" s="34"/>
      <c r="AS15" s="34"/>
      <c r="AT15" s="34"/>
      <c r="AU15" s="34"/>
      <c r="AV15" s="34"/>
      <c r="AW15" s="34"/>
      <c r="AX15" s="34"/>
      <c r="AY15" s="34"/>
      <c r="AZ15" s="34"/>
      <c r="BA15" s="5"/>
    </row>
    <row r="16" spans="1:53" ht="39.5" thickBot="1" x14ac:dyDescent="0.4">
      <c r="A16" s="24" t="s">
        <v>296</v>
      </c>
      <c r="B16" s="24" t="s">
        <v>297</v>
      </c>
      <c r="C16" s="24" t="s">
        <v>297</v>
      </c>
      <c r="D16" s="24" t="s">
        <v>297</v>
      </c>
      <c r="E16" s="24" t="s">
        <v>297</v>
      </c>
      <c r="F16" s="24" t="s">
        <v>297</v>
      </c>
      <c r="G16" s="24" t="s">
        <v>297</v>
      </c>
      <c r="H16" s="24" t="s">
        <v>297</v>
      </c>
      <c r="I16" s="24" t="s">
        <v>297</v>
      </c>
      <c r="J16" s="4" t="s">
        <v>310</v>
      </c>
      <c r="K16" s="5" t="s">
        <v>313</v>
      </c>
      <c r="L16" s="5"/>
      <c r="M16" s="5" t="s">
        <v>299</v>
      </c>
      <c r="N16" s="5" t="s">
        <v>301</v>
      </c>
      <c r="O16" s="286">
        <v>1E-3</v>
      </c>
      <c r="P16" s="91"/>
      <c r="Q16" s="91"/>
      <c r="R16" s="90">
        <v>0</v>
      </c>
      <c r="S16" s="91"/>
      <c r="T16" s="91"/>
      <c r="U16" s="91"/>
      <c r="V16" s="99">
        <f t="shared" si="0"/>
        <v>0</v>
      </c>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5" t="s">
        <v>314</v>
      </c>
    </row>
    <row r="17" spans="1:53" ht="26.5" thickBot="1" x14ac:dyDescent="0.4">
      <c r="A17" s="24" t="s">
        <v>296</v>
      </c>
      <c r="B17" s="24" t="s">
        <v>297</v>
      </c>
      <c r="C17" s="24" t="s">
        <v>297</v>
      </c>
      <c r="D17" s="24" t="s">
        <v>297</v>
      </c>
      <c r="E17" s="24" t="s">
        <v>297</v>
      </c>
      <c r="F17" s="24" t="s">
        <v>297</v>
      </c>
      <c r="G17" s="24" t="s">
        <v>297</v>
      </c>
      <c r="H17" s="24" t="s">
        <v>297</v>
      </c>
      <c r="I17" s="24" t="s">
        <v>297</v>
      </c>
      <c r="J17" s="4" t="s">
        <v>310</v>
      </c>
      <c r="K17" s="5" t="s">
        <v>315</v>
      </c>
      <c r="L17" s="5"/>
      <c r="M17" s="5" t="s">
        <v>299</v>
      </c>
      <c r="N17" s="5" t="s">
        <v>301</v>
      </c>
      <c r="O17" s="286">
        <v>1E-3</v>
      </c>
      <c r="P17" s="91"/>
      <c r="Q17" s="91"/>
      <c r="R17" s="90">
        <v>0</v>
      </c>
      <c r="S17" s="91"/>
      <c r="T17" s="91"/>
      <c r="U17" s="91"/>
      <c r="V17" s="99">
        <f t="shared" si="0"/>
        <v>0</v>
      </c>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5" t="s">
        <v>316</v>
      </c>
    </row>
    <row r="18" spans="1:53" ht="15" thickBot="1" x14ac:dyDescent="0.4">
      <c r="A18" s="24" t="s">
        <v>297</v>
      </c>
      <c r="B18" s="24" t="s">
        <v>297</v>
      </c>
      <c r="C18" s="24" t="s">
        <v>296</v>
      </c>
      <c r="D18" s="24" t="s">
        <v>297</v>
      </c>
      <c r="E18" s="24" t="s">
        <v>297</v>
      </c>
      <c r="F18" s="24" t="s">
        <v>297</v>
      </c>
      <c r="G18" s="24" t="s">
        <v>297</v>
      </c>
      <c r="H18" s="24" t="s">
        <v>297</v>
      </c>
      <c r="I18" s="24" t="s">
        <v>297</v>
      </c>
      <c r="J18" s="4" t="s">
        <v>317</v>
      </c>
      <c r="K18" s="5" t="s">
        <v>318</v>
      </c>
      <c r="L18" s="5"/>
      <c r="M18" s="5" t="s">
        <v>73</v>
      </c>
      <c r="N18" s="5" t="s">
        <v>301</v>
      </c>
      <c r="O18" s="286">
        <v>10.506</v>
      </c>
      <c r="P18" s="287">
        <v>0.23902000000000001</v>
      </c>
      <c r="Q18" s="91"/>
      <c r="R18" s="91"/>
      <c r="S18" s="91"/>
      <c r="T18" s="288">
        <v>5.8160000000000003E-2</v>
      </c>
      <c r="U18" s="296">
        <v>0.02</v>
      </c>
      <c r="V18" s="99">
        <f t="shared" si="0"/>
        <v>0.31718000000000002</v>
      </c>
      <c r="W18" s="34" t="s">
        <v>296</v>
      </c>
      <c r="X18" s="34"/>
      <c r="Y18" s="34"/>
      <c r="Z18" s="34"/>
      <c r="AA18" s="34"/>
      <c r="AB18" s="34" t="s">
        <v>296</v>
      </c>
      <c r="AC18" s="34"/>
      <c r="AD18" s="34"/>
      <c r="AE18" s="34"/>
      <c r="AF18" s="34"/>
      <c r="AG18" s="34"/>
      <c r="AH18" s="34"/>
      <c r="AI18" s="34"/>
      <c r="AJ18" s="34"/>
      <c r="AK18" s="34"/>
      <c r="AL18" s="34"/>
      <c r="AM18" s="34"/>
      <c r="AN18" s="34"/>
      <c r="AO18" s="34"/>
      <c r="AP18" s="34"/>
      <c r="AQ18" s="34"/>
      <c r="AR18" s="34"/>
      <c r="AS18" s="34"/>
      <c r="AT18" s="34"/>
      <c r="AU18" s="34" t="s">
        <v>296</v>
      </c>
      <c r="AV18" s="34"/>
      <c r="AW18" s="34"/>
      <c r="AX18" s="34"/>
      <c r="AY18" s="34"/>
      <c r="AZ18" s="34"/>
      <c r="BA18" s="5"/>
    </row>
    <row r="19" spans="1:53" ht="15" thickBot="1" x14ac:dyDescent="0.4">
      <c r="A19" s="24" t="s">
        <v>297</v>
      </c>
      <c r="B19" s="24" t="s">
        <v>297</v>
      </c>
      <c r="C19" s="24" t="s">
        <v>296</v>
      </c>
      <c r="D19" s="24" t="s">
        <v>297</v>
      </c>
      <c r="E19" s="24" t="s">
        <v>297</v>
      </c>
      <c r="F19" s="24" t="s">
        <v>297</v>
      </c>
      <c r="G19" s="24" t="s">
        <v>297</v>
      </c>
      <c r="H19" s="24" t="s">
        <v>297</v>
      </c>
      <c r="I19" s="24" t="s">
        <v>297</v>
      </c>
      <c r="J19" s="4" t="s">
        <v>317</v>
      </c>
      <c r="K19" s="5" t="s">
        <v>319</v>
      </c>
      <c r="L19" s="5"/>
      <c r="M19" s="5" t="s">
        <v>73</v>
      </c>
      <c r="N19" s="5" t="s">
        <v>301</v>
      </c>
      <c r="O19" s="286">
        <v>10.554</v>
      </c>
      <c r="P19" s="287">
        <v>0.25197000000000003</v>
      </c>
      <c r="Q19" s="91"/>
      <c r="R19" s="91"/>
      <c r="S19" s="91"/>
      <c r="T19" s="288">
        <v>5.9130000000000002E-2</v>
      </c>
      <c r="U19" s="91"/>
      <c r="V19" s="99">
        <f t="shared" si="0"/>
        <v>0.31110000000000004</v>
      </c>
      <c r="W19" s="34" t="s">
        <v>296</v>
      </c>
      <c r="X19" s="34"/>
      <c r="Y19" s="34"/>
      <c r="Z19" s="34"/>
      <c r="AA19" s="34"/>
      <c r="AB19" s="34" t="s">
        <v>296</v>
      </c>
      <c r="AC19" s="34"/>
      <c r="AD19" s="34"/>
      <c r="AE19" s="34"/>
      <c r="AF19" s="34"/>
      <c r="AG19" s="34"/>
      <c r="AH19" s="34"/>
      <c r="AI19" s="34"/>
      <c r="AJ19" s="34"/>
      <c r="AK19" s="34"/>
      <c r="AL19" s="34"/>
      <c r="AM19" s="34"/>
      <c r="AN19" s="34"/>
      <c r="AO19" s="34"/>
      <c r="AP19" s="34"/>
      <c r="AQ19" s="34"/>
      <c r="AR19" s="34"/>
      <c r="AS19" s="34"/>
      <c r="AT19" s="34"/>
      <c r="AU19" s="34" t="s">
        <v>296</v>
      </c>
      <c r="AV19" s="34"/>
      <c r="AW19" s="34"/>
      <c r="AX19" s="34"/>
      <c r="AY19" s="34"/>
      <c r="AZ19" s="34"/>
      <c r="BA19" s="5"/>
    </row>
    <row r="20" spans="1:53" ht="15" thickBot="1" x14ac:dyDescent="0.4">
      <c r="A20" s="24" t="s">
        <v>297</v>
      </c>
      <c r="B20" s="24" t="s">
        <v>297</v>
      </c>
      <c r="C20" s="24" t="s">
        <v>296</v>
      </c>
      <c r="D20" s="24" t="s">
        <v>297</v>
      </c>
      <c r="E20" s="24" t="s">
        <v>297</v>
      </c>
      <c r="F20" s="24" t="s">
        <v>297</v>
      </c>
      <c r="G20" s="24" t="s">
        <v>297</v>
      </c>
      <c r="H20" s="24" t="s">
        <v>297</v>
      </c>
      <c r="I20" s="24" t="s">
        <v>297</v>
      </c>
      <c r="J20" s="5" t="s">
        <v>99</v>
      </c>
      <c r="K20" s="5" t="s">
        <v>318</v>
      </c>
      <c r="L20" s="5"/>
      <c r="M20" s="5" t="s">
        <v>73</v>
      </c>
      <c r="N20" s="5" t="s">
        <v>301</v>
      </c>
      <c r="O20" s="286">
        <v>9.4619999999999997</v>
      </c>
      <c r="P20" s="287">
        <v>0.22012999999999999</v>
      </c>
      <c r="Q20" s="91"/>
      <c r="R20" s="91"/>
      <c r="S20" s="91"/>
      <c r="T20" s="288">
        <v>6.1400000000000003E-2</v>
      </c>
      <c r="U20" s="296">
        <v>0.01</v>
      </c>
      <c r="V20" s="99">
        <f t="shared" si="0"/>
        <v>0.29153000000000001</v>
      </c>
      <c r="W20" s="34" t="s">
        <v>296</v>
      </c>
      <c r="X20" s="34"/>
      <c r="Y20" s="34"/>
      <c r="Z20" s="34"/>
      <c r="AA20" s="34"/>
      <c r="AB20" s="34" t="s">
        <v>296</v>
      </c>
      <c r="AC20" s="34"/>
      <c r="AD20" s="34"/>
      <c r="AE20" s="34"/>
      <c r="AF20" s="34"/>
      <c r="AG20" s="34"/>
      <c r="AH20" s="34"/>
      <c r="AI20" s="34"/>
      <c r="AJ20" s="34"/>
      <c r="AK20" s="34"/>
      <c r="AL20" s="34"/>
      <c r="AM20" s="34"/>
      <c r="AN20" s="34"/>
      <c r="AO20" s="34"/>
      <c r="AP20" s="34"/>
      <c r="AQ20" s="34"/>
      <c r="AR20" s="34"/>
      <c r="AS20" s="34"/>
      <c r="AT20" s="34"/>
      <c r="AU20" s="34" t="s">
        <v>296</v>
      </c>
      <c r="AV20" s="34"/>
      <c r="AW20" s="34"/>
      <c r="AX20" s="34"/>
      <c r="AY20" s="34"/>
      <c r="AZ20" s="34"/>
      <c r="BA20" s="5"/>
    </row>
    <row r="21" spans="1:53" ht="15" thickBot="1" x14ac:dyDescent="0.4">
      <c r="A21" s="24" t="s">
        <v>297</v>
      </c>
      <c r="B21" s="24" t="s">
        <v>297</v>
      </c>
      <c r="C21" s="24" t="s">
        <v>296</v>
      </c>
      <c r="D21" s="24" t="s">
        <v>297</v>
      </c>
      <c r="E21" s="24" t="s">
        <v>297</v>
      </c>
      <c r="F21" s="24" t="s">
        <v>297</v>
      </c>
      <c r="G21" s="24" t="s">
        <v>297</v>
      </c>
      <c r="H21" s="24" t="s">
        <v>297</v>
      </c>
      <c r="I21" s="24" t="s">
        <v>297</v>
      </c>
      <c r="J21" s="5" t="s">
        <v>99</v>
      </c>
      <c r="K21" s="5" t="s">
        <v>320</v>
      </c>
      <c r="L21" s="5"/>
      <c r="M21" s="5" t="s">
        <v>73</v>
      </c>
      <c r="N21" s="5" t="s">
        <v>301</v>
      </c>
      <c r="O21" s="286">
        <v>9.702</v>
      </c>
      <c r="P21" s="287">
        <v>0.24185999999999999</v>
      </c>
      <c r="Q21" s="91"/>
      <c r="R21" s="91"/>
      <c r="S21" s="91"/>
      <c r="T21" s="288">
        <v>6.2530000000000002E-2</v>
      </c>
      <c r="U21" s="91"/>
      <c r="V21" s="99">
        <f t="shared" si="0"/>
        <v>0.30438999999999999</v>
      </c>
      <c r="W21" s="34" t="s">
        <v>296</v>
      </c>
      <c r="X21" s="34"/>
      <c r="Y21" s="34"/>
      <c r="Z21" s="34"/>
      <c r="AA21" s="34"/>
      <c r="AB21" s="34" t="s">
        <v>296</v>
      </c>
      <c r="AC21" s="34"/>
      <c r="AD21" s="34"/>
      <c r="AE21" s="34"/>
      <c r="AF21" s="34"/>
      <c r="AG21" s="34"/>
      <c r="AH21" s="34"/>
      <c r="AI21" s="34"/>
      <c r="AJ21" s="34"/>
      <c r="AK21" s="34"/>
      <c r="AL21" s="34"/>
      <c r="AM21" s="34"/>
      <c r="AN21" s="34"/>
      <c r="AO21" s="34"/>
      <c r="AP21" s="34"/>
      <c r="AQ21" s="34"/>
      <c r="AR21" s="34"/>
      <c r="AS21" s="34"/>
      <c r="AT21" s="34"/>
      <c r="AU21" s="34" t="s">
        <v>296</v>
      </c>
      <c r="AV21" s="34"/>
      <c r="AW21" s="34"/>
      <c r="AX21" s="34"/>
      <c r="AY21" s="34"/>
      <c r="AZ21" s="34"/>
      <c r="BA21" s="5"/>
    </row>
    <row r="22" spans="1:53" ht="52.5" thickBot="1" x14ac:dyDescent="0.4">
      <c r="A22" s="24" t="s">
        <v>296</v>
      </c>
      <c r="B22" s="24" t="s">
        <v>297</v>
      </c>
      <c r="C22" s="24" t="s">
        <v>296</v>
      </c>
      <c r="D22" s="24" t="s">
        <v>297</v>
      </c>
      <c r="E22" s="24" t="s">
        <v>297</v>
      </c>
      <c r="F22" s="24" t="s">
        <v>297</v>
      </c>
      <c r="G22" s="24" t="s">
        <v>297</v>
      </c>
      <c r="H22" s="24" t="s">
        <v>297</v>
      </c>
      <c r="I22" s="24" t="s">
        <v>297</v>
      </c>
      <c r="J22" s="5" t="s">
        <v>321</v>
      </c>
      <c r="K22" s="5" t="s">
        <v>322</v>
      </c>
      <c r="L22" s="5"/>
      <c r="M22" s="5" t="s">
        <v>73</v>
      </c>
      <c r="N22" s="5" t="s">
        <v>301</v>
      </c>
      <c r="O22" s="286">
        <v>9.9309999999999992</v>
      </c>
      <c r="P22" s="287">
        <f>0.03558/O22</f>
        <v>3.5827207733360191E-3</v>
      </c>
      <c r="Q22" s="91"/>
      <c r="R22" s="91"/>
      <c r="S22" s="91"/>
      <c r="T22" s="288">
        <f>0.559/O22</f>
        <v>5.6288389890242686E-2</v>
      </c>
      <c r="U22" s="296">
        <f>2.43/O22</f>
        <v>0.24468834961232508</v>
      </c>
      <c r="V22" s="99">
        <f t="shared" si="0"/>
        <v>0.3045594602759038</v>
      </c>
      <c r="W22" s="34"/>
      <c r="X22" s="34"/>
      <c r="Y22" s="34" t="s">
        <v>296</v>
      </c>
      <c r="Z22" s="34"/>
      <c r="AA22" s="34"/>
      <c r="AB22" s="34"/>
      <c r="AC22" s="34" t="s">
        <v>296</v>
      </c>
      <c r="AD22" s="34"/>
      <c r="AE22" s="34"/>
      <c r="AF22" s="34"/>
      <c r="AG22" s="34"/>
      <c r="AH22" s="34"/>
      <c r="AI22" s="34"/>
      <c r="AJ22" s="34"/>
      <c r="AK22" s="34"/>
      <c r="AL22" s="34"/>
      <c r="AM22" s="34"/>
      <c r="AN22" s="34"/>
      <c r="AO22" s="34"/>
      <c r="AP22" s="34"/>
      <c r="AQ22" s="34"/>
      <c r="AR22" s="34"/>
      <c r="AS22" s="34"/>
      <c r="AT22" s="34"/>
      <c r="AU22" s="34" t="s">
        <v>296</v>
      </c>
      <c r="AV22" s="34"/>
      <c r="AW22" s="34"/>
      <c r="AX22" s="34"/>
      <c r="AY22" s="34"/>
      <c r="AZ22" s="34"/>
      <c r="BA22" s="5" t="s">
        <v>971</v>
      </c>
    </row>
    <row r="23" spans="1:53" ht="52.5" thickBot="1" x14ac:dyDescent="0.4">
      <c r="A23" s="24" t="s">
        <v>297</v>
      </c>
      <c r="B23" s="24" t="s">
        <v>297</v>
      </c>
      <c r="C23" s="24" t="s">
        <v>296</v>
      </c>
      <c r="D23" s="24" t="s">
        <v>297</v>
      </c>
      <c r="E23" s="24" t="s">
        <v>297</v>
      </c>
      <c r="F23" s="24" t="s">
        <v>297</v>
      </c>
      <c r="G23" s="24" t="s">
        <v>297</v>
      </c>
      <c r="H23" s="24" t="s">
        <v>297</v>
      </c>
      <c r="I23" s="24" t="s">
        <v>297</v>
      </c>
      <c r="J23" s="5" t="s">
        <v>321</v>
      </c>
      <c r="K23" s="5" t="s">
        <v>323</v>
      </c>
      <c r="L23" s="5"/>
      <c r="M23" s="5" t="s">
        <v>73</v>
      </c>
      <c r="N23" s="5" t="s">
        <v>301</v>
      </c>
      <c r="O23" s="286">
        <v>9.5679999999999996</v>
      </c>
      <c r="P23" s="287">
        <f>0.16751/O23</f>
        <v>1.7507316053511704E-2</v>
      </c>
      <c r="Q23" s="91"/>
      <c r="R23" s="91"/>
      <c r="S23" s="91"/>
      <c r="T23" s="288">
        <f>0.48103/O23</f>
        <v>5.0274874581939806E-2</v>
      </c>
      <c r="U23" s="296">
        <f>2.39/O23</f>
        <v>0.24979096989966557</v>
      </c>
      <c r="V23" s="99">
        <f t="shared" si="0"/>
        <v>0.31757316053511708</v>
      </c>
      <c r="W23" s="34"/>
      <c r="X23" s="34"/>
      <c r="Y23" s="34" t="s">
        <v>296</v>
      </c>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5" t="s">
        <v>971</v>
      </c>
    </row>
    <row r="24" spans="1:53" ht="78.5" thickBot="1" x14ac:dyDescent="0.4">
      <c r="A24" s="24" t="s">
        <v>297</v>
      </c>
      <c r="B24" s="24" t="s">
        <v>297</v>
      </c>
      <c r="C24" s="24" t="s">
        <v>296</v>
      </c>
      <c r="D24" s="24" t="s">
        <v>297</v>
      </c>
      <c r="E24" s="24" t="s">
        <v>297</v>
      </c>
      <c r="F24" s="24" t="s">
        <v>297</v>
      </c>
      <c r="G24" s="24" t="s">
        <v>297</v>
      </c>
      <c r="H24" s="24" t="s">
        <v>297</v>
      </c>
      <c r="I24" s="24" t="s">
        <v>297</v>
      </c>
      <c r="J24" s="5" t="s">
        <v>324</v>
      </c>
      <c r="K24" s="188" t="s">
        <v>325</v>
      </c>
      <c r="L24" s="5"/>
      <c r="M24" s="5" t="s">
        <v>73</v>
      </c>
      <c r="N24" s="5" t="s">
        <v>301</v>
      </c>
      <c r="O24" s="289">
        <f>0.01402/P24</f>
        <v>9.2056023996787832</v>
      </c>
      <c r="P24" s="287">
        <f>0.42339/278</f>
        <v>1.5229856115107914E-3</v>
      </c>
      <c r="Q24" s="91"/>
      <c r="R24" s="91"/>
      <c r="S24" s="91"/>
      <c r="T24" s="296">
        <f>24.393/278</f>
        <v>8.7744604316546765E-2</v>
      </c>
      <c r="U24" s="296">
        <f>71.37/278</f>
        <v>0.25672661870503599</v>
      </c>
      <c r="V24" s="99">
        <f t="shared" si="0"/>
        <v>0.34599420863309355</v>
      </c>
      <c r="W24" s="34"/>
      <c r="X24" s="34"/>
      <c r="Y24" s="34" t="s">
        <v>296</v>
      </c>
      <c r="Z24" s="34"/>
      <c r="AA24" s="34"/>
      <c r="AB24" s="34"/>
      <c r="AC24" s="34" t="s">
        <v>296</v>
      </c>
      <c r="AD24" s="34"/>
      <c r="AE24" s="34"/>
      <c r="AF24" s="34"/>
      <c r="AG24" s="34"/>
      <c r="AH24" s="34"/>
      <c r="AI24" s="34"/>
      <c r="AJ24" s="34"/>
      <c r="AK24" s="34"/>
      <c r="AL24" s="34"/>
      <c r="AM24" s="34"/>
      <c r="AN24" s="34"/>
      <c r="AO24" s="34"/>
      <c r="AP24" s="34"/>
      <c r="AQ24" s="34"/>
      <c r="AR24" s="34"/>
      <c r="AS24" s="34"/>
      <c r="AT24" s="34"/>
      <c r="AU24" s="34" t="s">
        <v>296</v>
      </c>
      <c r="AV24" s="34"/>
      <c r="AW24" s="34"/>
      <c r="AX24" s="34"/>
      <c r="AY24" s="34"/>
      <c r="AZ24" s="34"/>
      <c r="BA24" s="5" t="s">
        <v>1045</v>
      </c>
    </row>
    <row r="25" spans="1:53" ht="15" thickBot="1" x14ac:dyDescent="0.4">
      <c r="A25" s="24" t="s">
        <v>297</v>
      </c>
      <c r="B25" s="24" t="s">
        <v>297</v>
      </c>
      <c r="C25" s="24" t="s">
        <v>297</v>
      </c>
      <c r="D25" s="24" t="s">
        <v>296</v>
      </c>
      <c r="E25" s="24" t="s">
        <v>297</v>
      </c>
      <c r="F25" s="24" t="s">
        <v>297</v>
      </c>
      <c r="G25" s="24" t="s">
        <v>297</v>
      </c>
      <c r="H25" s="24" t="s">
        <v>297</v>
      </c>
      <c r="I25" s="24" t="s">
        <v>297</v>
      </c>
      <c r="J25" s="5" t="s">
        <v>326</v>
      </c>
      <c r="K25" s="188" t="s">
        <v>327</v>
      </c>
      <c r="L25" s="5"/>
      <c r="M25" s="5" t="s">
        <v>328</v>
      </c>
      <c r="N25" s="5" t="s">
        <v>329</v>
      </c>
      <c r="O25" s="5">
        <v>100</v>
      </c>
      <c r="P25" s="200">
        <v>289.22000000000003</v>
      </c>
      <c r="Q25" s="91"/>
      <c r="R25" s="91"/>
      <c r="S25" s="91"/>
      <c r="T25" s="91"/>
      <c r="U25" s="91"/>
      <c r="V25" s="99">
        <f t="shared" si="0"/>
        <v>289.22000000000003</v>
      </c>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t="s">
        <v>296</v>
      </c>
      <c r="AZ25" s="34"/>
      <c r="BA25" s="5"/>
    </row>
    <row r="26" spans="1:53" ht="15" thickBot="1" x14ac:dyDescent="0.4">
      <c r="A26" s="24" t="s">
        <v>297</v>
      </c>
      <c r="B26" s="24" t="s">
        <v>297</v>
      </c>
      <c r="C26" s="24" t="s">
        <v>297</v>
      </c>
      <c r="D26" s="24" t="s">
        <v>296</v>
      </c>
      <c r="E26" s="24" t="s">
        <v>297</v>
      </c>
      <c r="F26" s="24" t="s">
        <v>297</v>
      </c>
      <c r="G26" s="24" t="s">
        <v>297</v>
      </c>
      <c r="H26" s="24" t="s">
        <v>297</v>
      </c>
      <c r="I26" s="24" t="s">
        <v>297</v>
      </c>
      <c r="J26" s="5" t="s">
        <v>326</v>
      </c>
      <c r="K26" s="188" t="s">
        <v>330</v>
      </c>
      <c r="L26" s="5"/>
      <c r="M26" s="5" t="s">
        <v>328</v>
      </c>
      <c r="N26" s="5" t="s">
        <v>329</v>
      </c>
      <c r="O26" s="5">
        <v>100</v>
      </c>
      <c r="P26" s="200">
        <v>1186.2</v>
      </c>
      <c r="Q26" s="91"/>
      <c r="R26" s="91"/>
      <c r="S26" s="91"/>
      <c r="T26" s="91"/>
      <c r="U26" s="91"/>
      <c r="V26" s="99">
        <f t="shared" si="0"/>
        <v>1186.2</v>
      </c>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t="s">
        <v>296</v>
      </c>
      <c r="AZ26" s="34"/>
      <c r="BA26" s="5"/>
    </row>
    <row r="27" spans="1:53" ht="15" thickBot="1" x14ac:dyDescent="0.4">
      <c r="A27" s="24" t="s">
        <v>297</v>
      </c>
      <c r="B27" s="24" t="s">
        <v>297</v>
      </c>
      <c r="C27" s="24" t="s">
        <v>297</v>
      </c>
      <c r="D27" s="24" t="s">
        <v>296</v>
      </c>
      <c r="E27" s="24" t="s">
        <v>297</v>
      </c>
      <c r="F27" s="24" t="s">
        <v>297</v>
      </c>
      <c r="G27" s="24" t="s">
        <v>297</v>
      </c>
      <c r="H27" s="24" t="s">
        <v>297</v>
      </c>
      <c r="I27" s="24" t="s">
        <v>297</v>
      </c>
      <c r="J27" s="5" t="s">
        <v>331</v>
      </c>
      <c r="K27" s="188" t="s">
        <v>332</v>
      </c>
      <c r="L27" s="5"/>
      <c r="M27" s="5" t="s">
        <v>333</v>
      </c>
      <c r="N27" s="5"/>
      <c r="O27" s="5"/>
      <c r="P27" s="200">
        <v>4726.0787226046687</v>
      </c>
      <c r="Q27" s="91"/>
      <c r="R27" s="91"/>
      <c r="S27" s="91"/>
      <c r="T27" s="91"/>
      <c r="U27" s="91"/>
      <c r="V27" s="99">
        <f t="shared" si="0"/>
        <v>4726.0787226046687</v>
      </c>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t="s">
        <v>296</v>
      </c>
      <c r="AZ27" s="34"/>
      <c r="BA27" s="5"/>
    </row>
    <row r="28" spans="1:53" ht="15" thickBot="1" x14ac:dyDescent="0.4">
      <c r="A28" s="24" t="s">
        <v>297</v>
      </c>
      <c r="B28" s="24" t="s">
        <v>297</v>
      </c>
      <c r="C28" s="24" t="s">
        <v>297</v>
      </c>
      <c r="D28" s="24" t="s">
        <v>296</v>
      </c>
      <c r="E28" s="24" t="s">
        <v>297</v>
      </c>
      <c r="F28" s="24" t="s">
        <v>297</v>
      </c>
      <c r="G28" s="24" t="s">
        <v>297</v>
      </c>
      <c r="H28" s="24" t="s">
        <v>297</v>
      </c>
      <c r="I28" s="24" t="s">
        <v>297</v>
      </c>
      <c r="J28" s="5" t="s">
        <v>331</v>
      </c>
      <c r="K28" s="188" t="s">
        <v>334</v>
      </c>
      <c r="L28" s="5"/>
      <c r="M28" s="5" t="s">
        <v>333</v>
      </c>
      <c r="N28" s="5"/>
      <c r="O28" s="5"/>
      <c r="P28" s="200">
        <v>1870.9743780629465</v>
      </c>
      <c r="Q28" s="91"/>
      <c r="R28" s="91"/>
      <c r="S28" s="91"/>
      <c r="T28" s="91"/>
      <c r="U28" s="91"/>
      <c r="V28" s="99">
        <f t="shared" si="0"/>
        <v>1870.9743780629465</v>
      </c>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t="s">
        <v>296</v>
      </c>
      <c r="AZ28" s="34"/>
      <c r="BA28" s="5"/>
    </row>
    <row r="29" spans="1:53" ht="15" thickBot="1" x14ac:dyDescent="0.4">
      <c r="A29" s="24" t="s">
        <v>297</v>
      </c>
      <c r="B29" s="24" t="s">
        <v>297</v>
      </c>
      <c r="C29" s="24" t="s">
        <v>297</v>
      </c>
      <c r="D29" s="24" t="s">
        <v>296</v>
      </c>
      <c r="E29" s="24" t="s">
        <v>297</v>
      </c>
      <c r="F29" s="24" t="s">
        <v>297</v>
      </c>
      <c r="G29" s="24" t="s">
        <v>297</v>
      </c>
      <c r="H29" s="24" t="s">
        <v>297</v>
      </c>
      <c r="I29" s="24" t="s">
        <v>297</v>
      </c>
      <c r="J29" s="5" t="s">
        <v>331</v>
      </c>
      <c r="K29" s="188" t="s">
        <v>335</v>
      </c>
      <c r="L29" s="5"/>
      <c r="M29" s="5" t="s">
        <v>333</v>
      </c>
      <c r="N29" s="5"/>
      <c r="O29" s="5"/>
      <c r="P29" s="200">
        <v>228.3410090861976</v>
      </c>
      <c r="Q29" s="91"/>
      <c r="R29" s="91"/>
      <c r="S29" s="91"/>
      <c r="T29" s="91"/>
      <c r="U29" s="91"/>
      <c r="V29" s="99">
        <f t="shared" si="0"/>
        <v>228.3410090861976</v>
      </c>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t="s">
        <v>296</v>
      </c>
      <c r="AZ29" s="34"/>
      <c r="BA29" s="5"/>
    </row>
    <row r="30" spans="1:53" ht="15" thickBot="1" x14ac:dyDescent="0.4">
      <c r="A30" s="24" t="s">
        <v>297</v>
      </c>
      <c r="B30" s="24" t="s">
        <v>297</v>
      </c>
      <c r="C30" s="24" t="s">
        <v>297</v>
      </c>
      <c r="D30" s="24" t="s">
        <v>296</v>
      </c>
      <c r="E30" s="24" t="s">
        <v>297</v>
      </c>
      <c r="F30" s="24" t="s">
        <v>297</v>
      </c>
      <c r="G30" s="24" t="s">
        <v>297</v>
      </c>
      <c r="H30" s="24" t="s">
        <v>297</v>
      </c>
      <c r="I30" s="24" t="s">
        <v>297</v>
      </c>
      <c r="J30" s="5" t="s">
        <v>331</v>
      </c>
      <c r="K30" s="188" t="s">
        <v>336</v>
      </c>
      <c r="L30" s="5"/>
      <c r="M30" s="5" t="s">
        <v>333</v>
      </c>
      <c r="N30" s="5"/>
      <c r="O30" s="5"/>
      <c r="P30" s="200">
        <v>4.5933035846345422</v>
      </c>
      <c r="Q30" s="91"/>
      <c r="R30" s="91"/>
      <c r="S30" s="91"/>
      <c r="T30" s="91"/>
      <c r="U30" s="91"/>
      <c r="V30" s="99">
        <f t="shared" si="0"/>
        <v>4.5933035846345422</v>
      </c>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t="s">
        <v>296</v>
      </c>
      <c r="AZ30" s="34"/>
      <c r="BA30" s="5"/>
    </row>
    <row r="31" spans="1:53" ht="15" thickBot="1" x14ac:dyDescent="0.4">
      <c r="A31" s="24" t="s">
        <v>297</v>
      </c>
      <c r="B31" s="24" t="s">
        <v>297</v>
      </c>
      <c r="C31" s="24" t="s">
        <v>297</v>
      </c>
      <c r="D31" s="24" t="s">
        <v>296</v>
      </c>
      <c r="E31" s="24" t="s">
        <v>297</v>
      </c>
      <c r="F31" s="24" t="s">
        <v>297</v>
      </c>
      <c r="G31" s="24" t="s">
        <v>297</v>
      </c>
      <c r="H31" s="24" t="s">
        <v>297</v>
      </c>
      <c r="I31" s="24" t="s">
        <v>297</v>
      </c>
      <c r="J31" s="5" t="s">
        <v>331</v>
      </c>
      <c r="K31" s="188" t="s">
        <v>337</v>
      </c>
      <c r="L31" s="5"/>
      <c r="M31" s="5" t="s">
        <v>333</v>
      </c>
      <c r="N31" s="5"/>
      <c r="O31" s="5"/>
      <c r="P31" s="200">
        <v>785.85391496092552</v>
      </c>
      <c r="Q31" s="91"/>
      <c r="R31" s="91"/>
      <c r="S31" s="91"/>
      <c r="T31" s="91"/>
      <c r="U31" s="91"/>
      <c r="V31" s="99">
        <f t="shared" si="0"/>
        <v>785.85391496092552</v>
      </c>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t="s">
        <v>296</v>
      </c>
      <c r="AZ31" s="34"/>
      <c r="BA31" s="5"/>
    </row>
    <row r="32" spans="1:53" ht="15" thickBot="1" x14ac:dyDescent="0.4">
      <c r="A32" s="24" t="s">
        <v>297</v>
      </c>
      <c r="B32" s="24" t="s">
        <v>297</v>
      </c>
      <c r="C32" s="24" t="s">
        <v>297</v>
      </c>
      <c r="D32" s="24" t="s">
        <v>296</v>
      </c>
      <c r="E32" s="24" t="s">
        <v>297</v>
      </c>
      <c r="F32" s="24" t="s">
        <v>297</v>
      </c>
      <c r="G32" s="24" t="s">
        <v>297</v>
      </c>
      <c r="H32" s="24" t="s">
        <v>297</v>
      </c>
      <c r="I32" s="24" t="s">
        <v>297</v>
      </c>
      <c r="J32" s="5" t="s">
        <v>331</v>
      </c>
      <c r="K32" s="188" t="s">
        <v>338</v>
      </c>
      <c r="L32" s="5"/>
      <c r="M32" s="5" t="s">
        <v>333</v>
      </c>
      <c r="N32" s="5"/>
      <c r="O32" s="5"/>
      <c r="P32" s="200">
        <v>139.1166578013202</v>
      </c>
      <c r="Q32" s="91"/>
      <c r="R32" s="91"/>
      <c r="S32" s="91"/>
      <c r="T32" s="91"/>
      <c r="U32" s="91"/>
      <c r="V32" s="99">
        <f t="shared" si="0"/>
        <v>139.1166578013202</v>
      </c>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t="s">
        <v>296</v>
      </c>
      <c r="AZ32" s="34"/>
      <c r="BA32" s="5"/>
    </row>
    <row r="33" spans="1:53" ht="15" thickBot="1" x14ac:dyDescent="0.4">
      <c r="A33" s="24" t="s">
        <v>297</v>
      </c>
      <c r="B33" s="24" t="s">
        <v>297</v>
      </c>
      <c r="C33" s="24" t="s">
        <v>296</v>
      </c>
      <c r="D33" s="24" t="s">
        <v>297</v>
      </c>
      <c r="E33" s="24" t="s">
        <v>297</v>
      </c>
      <c r="F33" s="24" t="s">
        <v>297</v>
      </c>
      <c r="G33" s="24" t="s">
        <v>297</v>
      </c>
      <c r="H33" s="24" t="s">
        <v>297</v>
      </c>
      <c r="I33" s="24" t="s">
        <v>297</v>
      </c>
      <c r="J33" s="5" t="s">
        <v>339</v>
      </c>
      <c r="K33" s="5" t="s">
        <v>98</v>
      </c>
      <c r="L33" s="5" t="s">
        <v>317</v>
      </c>
      <c r="M33" s="5" t="s">
        <v>341</v>
      </c>
      <c r="N33" s="5" t="s">
        <v>342</v>
      </c>
      <c r="O33" s="5">
        <v>1.609</v>
      </c>
      <c r="P33" s="287">
        <v>0.25023000000000001</v>
      </c>
      <c r="Q33" s="91"/>
      <c r="R33" s="91"/>
      <c r="S33" s="91"/>
      <c r="T33" s="287">
        <v>6.1280000000000001E-2</v>
      </c>
      <c r="U33" s="91"/>
      <c r="V33" s="99">
        <f t="shared" si="0"/>
        <v>0.31151000000000001</v>
      </c>
      <c r="W33" s="34"/>
      <c r="X33" s="34"/>
      <c r="Y33" s="34"/>
      <c r="Z33" s="34"/>
      <c r="AA33" s="34"/>
      <c r="AB33" s="34"/>
      <c r="AC33" s="34"/>
      <c r="AD33" s="34"/>
      <c r="AE33" s="34"/>
      <c r="AF33" s="34"/>
      <c r="AG33" s="34"/>
      <c r="AH33" s="34"/>
      <c r="AI33" s="34"/>
      <c r="AJ33" s="34"/>
      <c r="AK33" s="34"/>
      <c r="AL33" s="34"/>
      <c r="AM33" s="34"/>
      <c r="AN33" s="34"/>
      <c r="AO33" s="34"/>
      <c r="AP33" s="34"/>
      <c r="AQ33" s="34"/>
      <c r="AR33" s="34" t="s">
        <v>296</v>
      </c>
      <c r="AS33" s="34" t="s">
        <v>296</v>
      </c>
      <c r="AT33" s="34"/>
      <c r="AU33" s="34"/>
      <c r="AV33" s="34"/>
      <c r="AW33" s="34"/>
      <c r="AX33" s="34"/>
      <c r="AY33" s="34"/>
      <c r="AZ33" s="34"/>
      <c r="BA33" s="5" t="s">
        <v>340</v>
      </c>
    </row>
    <row r="34" spans="1:53" ht="15" thickBot="1" x14ac:dyDescent="0.4">
      <c r="A34" s="24" t="s">
        <v>297</v>
      </c>
      <c r="B34" s="24" t="s">
        <v>297</v>
      </c>
      <c r="C34" s="24" t="s">
        <v>296</v>
      </c>
      <c r="D34" s="24" t="s">
        <v>297</v>
      </c>
      <c r="E34" s="24" t="s">
        <v>297</v>
      </c>
      <c r="F34" s="24" t="s">
        <v>297</v>
      </c>
      <c r="G34" s="24" t="s">
        <v>297</v>
      </c>
      <c r="H34" s="24" t="s">
        <v>297</v>
      </c>
      <c r="I34" s="24" t="s">
        <v>297</v>
      </c>
      <c r="J34" s="5" t="s">
        <v>339</v>
      </c>
      <c r="K34" s="5" t="s">
        <v>98</v>
      </c>
      <c r="L34" s="5" t="s">
        <v>99</v>
      </c>
      <c r="M34" s="5" t="s">
        <v>341</v>
      </c>
      <c r="N34" s="5" t="s">
        <v>342</v>
      </c>
      <c r="O34" s="5">
        <v>1.609</v>
      </c>
      <c r="P34" s="287">
        <v>0.22095000000000001</v>
      </c>
      <c r="Q34" s="91"/>
      <c r="R34" s="91"/>
      <c r="S34" s="91"/>
      <c r="T34" s="287">
        <v>6.1830000000000003E-2</v>
      </c>
      <c r="U34" s="91"/>
      <c r="V34" s="99">
        <f t="shared" si="0"/>
        <v>0.28278000000000003</v>
      </c>
      <c r="W34" s="34"/>
      <c r="X34" s="34"/>
      <c r="Y34" s="34"/>
      <c r="Z34" s="34"/>
      <c r="AA34" s="34"/>
      <c r="AB34" s="34"/>
      <c r="AC34" s="34"/>
      <c r="AD34" s="34"/>
      <c r="AE34" s="34"/>
      <c r="AF34" s="34"/>
      <c r="AG34" s="34"/>
      <c r="AH34" s="34"/>
      <c r="AI34" s="34"/>
      <c r="AJ34" s="34"/>
      <c r="AK34" s="34"/>
      <c r="AL34" s="34"/>
      <c r="AM34" s="34"/>
      <c r="AN34" s="34"/>
      <c r="AO34" s="34"/>
      <c r="AP34" s="34"/>
      <c r="AQ34" s="34"/>
      <c r="AR34" s="34" t="s">
        <v>296</v>
      </c>
      <c r="AS34" s="34" t="s">
        <v>296</v>
      </c>
      <c r="AT34" s="34"/>
      <c r="AU34" s="34"/>
      <c r="AV34" s="34"/>
      <c r="AW34" s="34"/>
      <c r="AX34" s="34"/>
      <c r="AY34" s="34"/>
      <c r="AZ34" s="34"/>
      <c r="BA34" s="5" t="s">
        <v>340</v>
      </c>
    </row>
    <row r="35" spans="1:53" ht="15" thickBot="1" x14ac:dyDescent="0.4">
      <c r="A35" s="24" t="s">
        <v>297</v>
      </c>
      <c r="B35" s="24" t="s">
        <v>297</v>
      </c>
      <c r="C35" s="24" t="s">
        <v>296</v>
      </c>
      <c r="D35" s="24" t="s">
        <v>297</v>
      </c>
      <c r="E35" s="24" t="s">
        <v>297</v>
      </c>
      <c r="F35" s="24" t="s">
        <v>297</v>
      </c>
      <c r="G35" s="24" t="s">
        <v>297</v>
      </c>
      <c r="H35" s="24" t="s">
        <v>297</v>
      </c>
      <c r="I35" s="24" t="s">
        <v>297</v>
      </c>
      <c r="J35" s="5" t="s">
        <v>339</v>
      </c>
      <c r="K35" s="5" t="s">
        <v>98</v>
      </c>
      <c r="L35" s="5" t="s">
        <v>76</v>
      </c>
      <c r="M35" s="5" t="s">
        <v>341</v>
      </c>
      <c r="N35" s="5" t="s">
        <v>342</v>
      </c>
      <c r="O35" s="5">
        <v>1.609</v>
      </c>
      <c r="P35" s="287">
        <v>0.27617000000000003</v>
      </c>
      <c r="Q35" s="91"/>
      <c r="R35" s="91"/>
      <c r="S35" s="91"/>
      <c r="T35" s="288">
        <v>3.279E-2</v>
      </c>
      <c r="U35" s="91"/>
      <c r="V35" s="99">
        <f t="shared" ref="V35:V66" si="1">SUM(P35:U35)</f>
        <v>0.30896000000000001</v>
      </c>
      <c r="W35" s="34"/>
      <c r="X35" s="34"/>
      <c r="Y35" s="34"/>
      <c r="Z35" s="34"/>
      <c r="AA35" s="34"/>
      <c r="AB35" s="34"/>
      <c r="AC35" s="34"/>
      <c r="AD35" s="34"/>
      <c r="AE35" s="34"/>
      <c r="AF35" s="34"/>
      <c r="AG35" s="34"/>
      <c r="AH35" s="34"/>
      <c r="AI35" s="34"/>
      <c r="AJ35" s="34"/>
      <c r="AK35" s="34"/>
      <c r="AL35" s="34"/>
      <c r="AM35" s="34"/>
      <c r="AN35" s="34"/>
      <c r="AO35" s="34"/>
      <c r="AP35" s="34"/>
      <c r="AQ35" s="34"/>
      <c r="AR35" s="34" t="s">
        <v>296</v>
      </c>
      <c r="AS35" s="34" t="s">
        <v>296</v>
      </c>
      <c r="AT35" s="34"/>
      <c r="AU35" s="34"/>
      <c r="AV35" s="34"/>
      <c r="AW35" s="34"/>
      <c r="AX35" s="34"/>
      <c r="AY35" s="34"/>
      <c r="AZ35" s="34"/>
      <c r="BA35" s="5" t="s">
        <v>340</v>
      </c>
    </row>
    <row r="36" spans="1:53" ht="26.5" thickBot="1" x14ac:dyDescent="0.4">
      <c r="A36" s="24" t="s">
        <v>297</v>
      </c>
      <c r="B36" s="24" t="s">
        <v>297</v>
      </c>
      <c r="C36" s="24" t="s">
        <v>296</v>
      </c>
      <c r="D36" s="24" t="s">
        <v>297</v>
      </c>
      <c r="E36" s="24" t="s">
        <v>297</v>
      </c>
      <c r="F36" s="24" t="s">
        <v>297</v>
      </c>
      <c r="G36" s="24" t="s">
        <v>297</v>
      </c>
      <c r="H36" s="24" t="s">
        <v>297</v>
      </c>
      <c r="I36" s="24" t="s">
        <v>297</v>
      </c>
      <c r="J36" s="5" t="s">
        <v>339</v>
      </c>
      <c r="K36" s="5" t="s">
        <v>98</v>
      </c>
      <c r="L36" s="5" t="s">
        <v>343</v>
      </c>
      <c r="M36" s="5" t="s">
        <v>341</v>
      </c>
      <c r="N36" s="5" t="s">
        <v>342</v>
      </c>
      <c r="O36" s="5">
        <v>1.609</v>
      </c>
      <c r="P36" s="91"/>
      <c r="Q36" s="287">
        <v>7.2789999999999994E-2</v>
      </c>
      <c r="R36" s="91"/>
      <c r="S36" s="287">
        <v>6.4400000000000004E-3</v>
      </c>
      <c r="T36" s="287">
        <v>1.7590000000000001E-2</v>
      </c>
      <c r="U36" s="91"/>
      <c r="V36" s="99">
        <f t="shared" si="1"/>
        <v>9.6819999999999989E-2</v>
      </c>
      <c r="W36" s="34"/>
      <c r="X36" s="34"/>
      <c r="Y36" s="34"/>
      <c r="Z36" s="34"/>
      <c r="AA36" s="34"/>
      <c r="AB36" s="34"/>
      <c r="AC36" s="34"/>
      <c r="AD36" s="34"/>
      <c r="AE36" s="34"/>
      <c r="AF36" s="34"/>
      <c r="AG36" s="34"/>
      <c r="AH36" s="34"/>
      <c r="AI36" s="34"/>
      <c r="AJ36" s="34"/>
      <c r="AK36" s="34"/>
      <c r="AL36" s="34"/>
      <c r="AM36" s="34"/>
      <c r="AN36" s="34"/>
      <c r="AO36" s="34"/>
      <c r="AP36" s="34" t="s">
        <v>296</v>
      </c>
      <c r="AQ36" s="34" t="s">
        <v>296</v>
      </c>
      <c r="AR36" s="34"/>
      <c r="AS36" s="34" t="s">
        <v>296</v>
      </c>
      <c r="AT36" s="34"/>
      <c r="AU36" s="34"/>
      <c r="AV36" s="34"/>
      <c r="AW36" s="34"/>
      <c r="AX36" s="34"/>
      <c r="AY36" s="34"/>
      <c r="AZ36" s="34"/>
      <c r="BA36" s="5" t="s">
        <v>340</v>
      </c>
    </row>
    <row r="37" spans="1:53" ht="15" thickBot="1" x14ac:dyDescent="0.4">
      <c r="A37" s="24" t="s">
        <v>297</v>
      </c>
      <c r="B37" s="24" t="s">
        <v>297</v>
      </c>
      <c r="C37" s="24" t="s">
        <v>296</v>
      </c>
      <c r="D37" s="24" t="s">
        <v>297</v>
      </c>
      <c r="E37" s="24" t="s">
        <v>297</v>
      </c>
      <c r="F37" s="24" t="s">
        <v>297</v>
      </c>
      <c r="G37" s="24" t="s">
        <v>297</v>
      </c>
      <c r="H37" s="24" t="s">
        <v>297</v>
      </c>
      <c r="I37" s="24" t="s">
        <v>297</v>
      </c>
      <c r="J37" s="5" t="s">
        <v>339</v>
      </c>
      <c r="K37" s="5" t="s">
        <v>98</v>
      </c>
      <c r="L37" s="5" t="s">
        <v>344</v>
      </c>
      <c r="M37" s="5" t="s">
        <v>341</v>
      </c>
      <c r="N37" s="5" t="s">
        <v>342</v>
      </c>
      <c r="O37" s="5">
        <v>1.609</v>
      </c>
      <c r="P37" s="287">
        <v>0.24934000000000001</v>
      </c>
      <c r="Q37" s="91"/>
      <c r="R37" s="91"/>
      <c r="S37" s="91"/>
      <c r="T37" s="287">
        <v>6.13E-2</v>
      </c>
      <c r="U37" s="91"/>
      <c r="V37" s="99">
        <f t="shared" si="1"/>
        <v>0.31064000000000003</v>
      </c>
      <c r="W37" s="34"/>
      <c r="X37" s="34"/>
      <c r="Y37" s="34"/>
      <c r="Z37" s="34"/>
      <c r="AA37" s="34"/>
      <c r="AB37" s="34"/>
      <c r="AC37" s="34"/>
      <c r="AD37" s="34"/>
      <c r="AE37" s="34"/>
      <c r="AF37" s="34"/>
      <c r="AG37" s="34"/>
      <c r="AH37" s="34"/>
      <c r="AI37" s="34"/>
      <c r="AJ37" s="34"/>
      <c r="AK37" s="34"/>
      <c r="AL37" s="34"/>
      <c r="AM37" s="34"/>
      <c r="AN37" s="34"/>
      <c r="AO37" s="34"/>
      <c r="AP37" s="34"/>
      <c r="AQ37" s="34"/>
      <c r="AR37" s="34" t="s">
        <v>296</v>
      </c>
      <c r="AS37" s="34" t="s">
        <v>296</v>
      </c>
      <c r="AT37" s="34"/>
      <c r="AU37" s="34"/>
      <c r="AV37" s="34"/>
      <c r="AW37" s="34"/>
      <c r="AX37" s="34"/>
      <c r="AY37" s="34"/>
      <c r="AZ37" s="34"/>
      <c r="BA37" s="5" t="s">
        <v>340</v>
      </c>
    </row>
    <row r="38" spans="1:53" ht="15" thickBot="1" x14ac:dyDescent="0.4">
      <c r="A38" s="24" t="s">
        <v>297</v>
      </c>
      <c r="B38" s="24" t="s">
        <v>297</v>
      </c>
      <c r="C38" s="24" t="s">
        <v>296</v>
      </c>
      <c r="D38" s="24" t="s">
        <v>297</v>
      </c>
      <c r="E38" s="24" t="s">
        <v>297</v>
      </c>
      <c r="F38" s="24" t="s">
        <v>297</v>
      </c>
      <c r="G38" s="24" t="s">
        <v>297</v>
      </c>
      <c r="H38" s="24" t="s">
        <v>297</v>
      </c>
      <c r="I38" s="24" t="s">
        <v>297</v>
      </c>
      <c r="J38" s="5" t="s">
        <v>345</v>
      </c>
      <c r="K38" s="5" t="s">
        <v>346</v>
      </c>
      <c r="L38" s="5" t="s">
        <v>317</v>
      </c>
      <c r="M38" s="5" t="s">
        <v>341</v>
      </c>
      <c r="N38" s="5" t="s">
        <v>342</v>
      </c>
      <c r="O38" s="5">
        <v>1.609</v>
      </c>
      <c r="P38" s="287">
        <v>0.82657000000000003</v>
      </c>
      <c r="Q38" s="91"/>
      <c r="R38" s="91"/>
      <c r="S38" s="91"/>
      <c r="T38" s="288">
        <v>0.20099</v>
      </c>
      <c r="U38" s="91"/>
      <c r="V38" s="99">
        <f t="shared" si="1"/>
        <v>1.02756</v>
      </c>
      <c r="W38" s="34"/>
      <c r="X38" s="34"/>
      <c r="Y38" s="34"/>
      <c r="Z38" s="34"/>
      <c r="AA38" s="34"/>
      <c r="AB38" s="34"/>
      <c r="AC38" s="34"/>
      <c r="AD38" s="34"/>
      <c r="AE38" s="34"/>
      <c r="AF38" s="34"/>
      <c r="AG38" s="34"/>
      <c r="AH38" s="34"/>
      <c r="AI38" s="34"/>
      <c r="AJ38" s="34"/>
      <c r="AK38" s="34"/>
      <c r="AL38" s="34"/>
      <c r="AM38" s="34"/>
      <c r="AN38" s="34"/>
      <c r="AO38" s="34"/>
      <c r="AP38" s="34"/>
      <c r="AQ38" s="34"/>
      <c r="AR38" s="34" t="s">
        <v>296</v>
      </c>
      <c r="AS38" s="34" t="s">
        <v>296</v>
      </c>
      <c r="AT38" s="34"/>
      <c r="AU38" s="34"/>
      <c r="AV38" s="34"/>
      <c r="AW38" s="34"/>
      <c r="AX38" s="34"/>
      <c r="AY38" s="34"/>
      <c r="AZ38" s="34"/>
      <c r="BA38" s="5" t="s">
        <v>347</v>
      </c>
    </row>
    <row r="39" spans="1:53" ht="15" thickBot="1" x14ac:dyDescent="0.4">
      <c r="A39" s="24" t="s">
        <v>297</v>
      </c>
      <c r="B39" s="24" t="s">
        <v>297</v>
      </c>
      <c r="C39" s="24" t="s">
        <v>296</v>
      </c>
      <c r="D39" s="24" t="s">
        <v>297</v>
      </c>
      <c r="E39" s="24" t="s">
        <v>297</v>
      </c>
      <c r="F39" s="24" t="s">
        <v>297</v>
      </c>
      <c r="G39" s="24" t="s">
        <v>297</v>
      </c>
      <c r="H39" s="24" t="s">
        <v>297</v>
      </c>
      <c r="I39" s="24" t="s">
        <v>297</v>
      </c>
      <c r="J39" s="5" t="s">
        <v>345</v>
      </c>
      <c r="K39" s="5" t="s">
        <v>348</v>
      </c>
      <c r="L39" s="5" t="s">
        <v>317</v>
      </c>
      <c r="M39" s="5" t="s">
        <v>341</v>
      </c>
      <c r="N39" s="5" t="s">
        <v>342</v>
      </c>
      <c r="O39" s="5">
        <v>1.609</v>
      </c>
      <c r="P39" s="287">
        <v>0.90581</v>
      </c>
      <c r="Q39" s="91"/>
      <c r="R39" s="91"/>
      <c r="S39" s="91"/>
      <c r="T39" s="288">
        <v>0.21898000000000001</v>
      </c>
      <c r="U39" s="91"/>
      <c r="V39" s="99">
        <f t="shared" si="1"/>
        <v>1.12479</v>
      </c>
      <c r="W39" s="34"/>
      <c r="X39" s="34"/>
      <c r="Y39" s="34"/>
      <c r="Z39" s="34"/>
      <c r="AA39" s="34"/>
      <c r="AB39" s="34"/>
      <c r="AC39" s="34"/>
      <c r="AD39" s="34"/>
      <c r="AE39" s="34"/>
      <c r="AF39" s="34"/>
      <c r="AG39" s="34"/>
      <c r="AH39" s="34"/>
      <c r="AI39" s="34"/>
      <c r="AJ39" s="34"/>
      <c r="AK39" s="34"/>
      <c r="AL39" s="34"/>
      <c r="AM39" s="34"/>
      <c r="AN39" s="34"/>
      <c r="AO39" s="34"/>
      <c r="AP39" s="34"/>
      <c r="AQ39" s="34"/>
      <c r="AR39" s="34" t="s">
        <v>296</v>
      </c>
      <c r="AS39" s="34" t="s">
        <v>296</v>
      </c>
      <c r="AT39" s="34"/>
      <c r="AU39" s="34"/>
      <c r="AV39" s="34"/>
      <c r="AW39" s="34"/>
      <c r="AX39" s="34"/>
      <c r="AY39" s="34"/>
      <c r="AZ39" s="34"/>
      <c r="BA39" s="5" t="s">
        <v>347</v>
      </c>
    </row>
    <row r="40" spans="1:53" ht="15" thickBot="1" x14ac:dyDescent="0.4">
      <c r="A40" s="24" t="s">
        <v>297</v>
      </c>
      <c r="B40" s="24" t="s">
        <v>297</v>
      </c>
      <c r="C40" s="24" t="s">
        <v>296</v>
      </c>
      <c r="D40" s="24" t="s">
        <v>297</v>
      </c>
      <c r="E40" s="24" t="s">
        <v>297</v>
      </c>
      <c r="F40" s="24" t="s">
        <v>297</v>
      </c>
      <c r="G40" s="24" t="s">
        <v>297</v>
      </c>
      <c r="H40" s="24" t="s">
        <v>297</v>
      </c>
      <c r="I40" s="24" t="s">
        <v>297</v>
      </c>
      <c r="J40" s="5" t="s">
        <v>345</v>
      </c>
      <c r="K40" s="5" t="s">
        <v>349</v>
      </c>
      <c r="L40" s="5" t="s">
        <v>317</v>
      </c>
      <c r="M40" s="5" t="s">
        <v>341</v>
      </c>
      <c r="N40" s="5" t="s">
        <v>342</v>
      </c>
      <c r="O40" s="5">
        <v>1.609</v>
      </c>
      <c r="P40" s="287">
        <v>0.87295999999999996</v>
      </c>
      <c r="Q40" s="91"/>
      <c r="R40" s="91"/>
      <c r="S40" s="91"/>
      <c r="T40" s="288">
        <v>0.21154000000000001</v>
      </c>
      <c r="U40" s="91"/>
      <c r="V40" s="99">
        <f t="shared" si="1"/>
        <v>1.0845</v>
      </c>
      <c r="W40" s="34"/>
      <c r="X40" s="34"/>
      <c r="Y40" s="34"/>
      <c r="Z40" s="34"/>
      <c r="AA40" s="34"/>
      <c r="AB40" s="34"/>
      <c r="AC40" s="34"/>
      <c r="AD40" s="34"/>
      <c r="AE40" s="34"/>
      <c r="AF40" s="34"/>
      <c r="AG40" s="34"/>
      <c r="AH40" s="34"/>
      <c r="AI40" s="34"/>
      <c r="AJ40" s="34"/>
      <c r="AK40" s="34"/>
      <c r="AL40" s="34"/>
      <c r="AM40" s="34"/>
      <c r="AN40" s="34"/>
      <c r="AO40" s="34"/>
      <c r="AP40" s="34"/>
      <c r="AQ40" s="34"/>
      <c r="AR40" s="34" t="s">
        <v>296</v>
      </c>
      <c r="AS40" s="34" t="s">
        <v>296</v>
      </c>
      <c r="AT40" s="34"/>
      <c r="AU40" s="34"/>
      <c r="AV40" s="34"/>
      <c r="AW40" s="34"/>
      <c r="AX40" s="34"/>
      <c r="AY40" s="34"/>
      <c r="AZ40" s="34"/>
      <c r="BA40" s="5" t="s">
        <v>347</v>
      </c>
    </row>
    <row r="41" spans="1:53" ht="15" thickBot="1" x14ac:dyDescent="0.4">
      <c r="A41" s="24" t="s">
        <v>297</v>
      </c>
      <c r="B41" s="24" t="s">
        <v>297</v>
      </c>
      <c r="C41" s="24" t="s">
        <v>296</v>
      </c>
      <c r="D41" s="24" t="s">
        <v>297</v>
      </c>
      <c r="E41" s="24" t="s">
        <v>297</v>
      </c>
      <c r="F41" s="24" t="s">
        <v>297</v>
      </c>
      <c r="G41" s="24" t="s">
        <v>297</v>
      </c>
      <c r="H41" s="24" t="s">
        <v>297</v>
      </c>
      <c r="I41" s="24" t="s">
        <v>297</v>
      </c>
      <c r="J41" s="5" t="s">
        <v>350</v>
      </c>
      <c r="K41" s="5" t="s">
        <v>98</v>
      </c>
      <c r="L41" s="5" t="s">
        <v>317</v>
      </c>
      <c r="M41" s="5" t="s">
        <v>341</v>
      </c>
      <c r="N41" s="5" t="s">
        <v>342</v>
      </c>
      <c r="O41" s="5">
        <v>1.609</v>
      </c>
      <c r="P41" s="287">
        <v>0.16983999999999999</v>
      </c>
      <c r="Q41" s="91"/>
      <c r="R41" s="91"/>
      <c r="S41" s="91"/>
      <c r="T41" s="288">
        <v>4.1459999999999997E-2</v>
      </c>
      <c r="U41" s="91"/>
      <c r="V41" s="99">
        <f t="shared" si="1"/>
        <v>0.21129999999999999</v>
      </c>
      <c r="W41" s="34"/>
      <c r="X41" s="34"/>
      <c r="Y41" s="34"/>
      <c r="Z41" s="34"/>
      <c r="AA41" s="34"/>
      <c r="AB41" s="34"/>
      <c r="AC41" s="34"/>
      <c r="AD41" s="34"/>
      <c r="AE41" s="34"/>
      <c r="AF41" s="34"/>
      <c r="AG41" s="34"/>
      <c r="AH41" s="34"/>
      <c r="AI41" s="34"/>
      <c r="AJ41" s="34"/>
      <c r="AK41" s="34"/>
      <c r="AL41" s="34"/>
      <c r="AM41" s="34"/>
      <c r="AN41" s="34" t="s">
        <v>296</v>
      </c>
      <c r="AO41" s="34" t="s">
        <v>296</v>
      </c>
      <c r="AP41" s="34"/>
      <c r="AQ41" s="34"/>
      <c r="AR41" s="34"/>
      <c r="AS41" s="34"/>
      <c r="AT41" s="34"/>
      <c r="AU41" s="34"/>
      <c r="AV41" s="34"/>
      <c r="AW41" s="34"/>
      <c r="AX41" s="34"/>
      <c r="AY41" s="34"/>
      <c r="AZ41" s="34"/>
      <c r="BA41" s="5"/>
    </row>
    <row r="42" spans="1:53" ht="15" thickBot="1" x14ac:dyDescent="0.4">
      <c r="A42" s="24" t="s">
        <v>297</v>
      </c>
      <c r="B42" s="24" t="s">
        <v>297</v>
      </c>
      <c r="C42" s="24" t="s">
        <v>296</v>
      </c>
      <c r="D42" s="24" t="s">
        <v>297</v>
      </c>
      <c r="E42" s="24" t="s">
        <v>297</v>
      </c>
      <c r="F42" s="24" t="s">
        <v>297</v>
      </c>
      <c r="G42" s="24" t="s">
        <v>297</v>
      </c>
      <c r="H42" s="24" t="s">
        <v>297</v>
      </c>
      <c r="I42" s="24" t="s">
        <v>297</v>
      </c>
      <c r="J42" s="5" t="s">
        <v>350</v>
      </c>
      <c r="K42" s="5" t="s">
        <v>98</v>
      </c>
      <c r="L42" s="5" t="s">
        <v>99</v>
      </c>
      <c r="M42" s="5" t="s">
        <v>341</v>
      </c>
      <c r="N42" s="5" t="s">
        <v>342</v>
      </c>
      <c r="O42" s="5">
        <v>1.609</v>
      </c>
      <c r="P42" s="287">
        <v>0.16450000000000001</v>
      </c>
      <c r="Q42" s="91"/>
      <c r="R42" s="91"/>
      <c r="S42" s="91"/>
      <c r="T42" s="288">
        <v>4.5990000000000003E-2</v>
      </c>
      <c r="U42" s="91"/>
      <c r="V42" s="99">
        <f t="shared" si="1"/>
        <v>0.21049000000000001</v>
      </c>
      <c r="W42" s="34"/>
      <c r="X42" s="34"/>
      <c r="Y42" s="34"/>
      <c r="Z42" s="34"/>
      <c r="AA42" s="34"/>
      <c r="AB42" s="34"/>
      <c r="AC42" s="34"/>
      <c r="AD42" s="34"/>
      <c r="AE42" s="34"/>
      <c r="AF42" s="34"/>
      <c r="AG42" s="34"/>
      <c r="AH42" s="34"/>
      <c r="AI42" s="34"/>
      <c r="AJ42" s="34"/>
      <c r="AK42" s="34"/>
      <c r="AL42" s="34"/>
      <c r="AM42" s="34"/>
      <c r="AN42" s="34" t="s">
        <v>296</v>
      </c>
      <c r="AO42" s="34" t="s">
        <v>296</v>
      </c>
      <c r="AP42" s="34"/>
      <c r="AQ42" s="34"/>
      <c r="AR42" s="34"/>
      <c r="AS42" s="34"/>
      <c r="AT42" s="34"/>
      <c r="AU42" s="34"/>
      <c r="AV42" s="34"/>
      <c r="AW42" s="34"/>
      <c r="AX42" s="34"/>
      <c r="AY42" s="34"/>
      <c r="AZ42" s="34"/>
      <c r="BA42" s="5"/>
    </row>
    <row r="43" spans="1:53" ht="15" thickBot="1" x14ac:dyDescent="0.4">
      <c r="A43" s="24" t="s">
        <v>297</v>
      </c>
      <c r="B43" s="24" t="s">
        <v>297</v>
      </c>
      <c r="C43" s="24" t="s">
        <v>296</v>
      </c>
      <c r="D43" s="24" t="s">
        <v>297</v>
      </c>
      <c r="E43" s="24" t="s">
        <v>297</v>
      </c>
      <c r="F43" s="24" t="s">
        <v>297</v>
      </c>
      <c r="G43" s="24" t="s">
        <v>297</v>
      </c>
      <c r="H43" s="24" t="s">
        <v>297</v>
      </c>
      <c r="I43" s="24" t="s">
        <v>297</v>
      </c>
      <c r="J43" s="5" t="s">
        <v>350</v>
      </c>
      <c r="K43" s="5" t="s">
        <v>98</v>
      </c>
      <c r="L43" s="5" t="s">
        <v>351</v>
      </c>
      <c r="M43" s="5" t="s">
        <v>341</v>
      </c>
      <c r="N43" s="5" t="s">
        <v>342</v>
      </c>
      <c r="O43" s="5">
        <v>1.609</v>
      </c>
      <c r="P43" s="287">
        <v>0.12606999999999999</v>
      </c>
      <c r="Q43" s="91"/>
      <c r="R43" s="91"/>
      <c r="S43" s="91"/>
      <c r="T43" s="288">
        <v>3.3149999999999999E-2</v>
      </c>
      <c r="U43" s="91"/>
      <c r="V43" s="99">
        <f t="shared" si="1"/>
        <v>0.15921999999999997</v>
      </c>
      <c r="W43" s="34"/>
      <c r="X43" s="34"/>
      <c r="Y43" s="34"/>
      <c r="Z43" s="34"/>
      <c r="AA43" s="34"/>
      <c r="AB43" s="34"/>
      <c r="AC43" s="34"/>
      <c r="AD43" s="34"/>
      <c r="AE43" s="34"/>
      <c r="AF43" s="34"/>
      <c r="AG43" s="34"/>
      <c r="AH43" s="34"/>
      <c r="AI43" s="34"/>
      <c r="AJ43" s="34"/>
      <c r="AK43" s="34"/>
      <c r="AL43" s="34"/>
      <c r="AM43" s="34"/>
      <c r="AN43" s="34" t="s">
        <v>296</v>
      </c>
      <c r="AO43" s="34" t="s">
        <v>296</v>
      </c>
      <c r="AP43" s="34"/>
      <c r="AQ43" s="34"/>
      <c r="AR43" s="34"/>
      <c r="AS43" s="34"/>
      <c r="AT43" s="34"/>
      <c r="AU43" s="34"/>
      <c r="AV43" s="34"/>
      <c r="AW43" s="34"/>
      <c r="AX43" s="34"/>
      <c r="AY43" s="34"/>
      <c r="AZ43" s="34"/>
      <c r="BA43" s="5"/>
    </row>
    <row r="44" spans="1:53" ht="26.5" thickBot="1" x14ac:dyDescent="0.4">
      <c r="A44" s="24" t="s">
        <v>297</v>
      </c>
      <c r="B44" s="24" t="s">
        <v>297</v>
      </c>
      <c r="C44" s="24" t="s">
        <v>296</v>
      </c>
      <c r="D44" s="24" t="s">
        <v>297</v>
      </c>
      <c r="E44" s="24" t="s">
        <v>297</v>
      </c>
      <c r="F44" s="24" t="s">
        <v>297</v>
      </c>
      <c r="G44" s="24" t="s">
        <v>297</v>
      </c>
      <c r="H44" s="24" t="s">
        <v>297</v>
      </c>
      <c r="I44" s="24" t="s">
        <v>297</v>
      </c>
      <c r="J44" s="5" t="s">
        <v>350</v>
      </c>
      <c r="K44" s="5" t="s">
        <v>98</v>
      </c>
      <c r="L44" s="5" t="s">
        <v>352</v>
      </c>
      <c r="M44" s="5" t="s">
        <v>341</v>
      </c>
      <c r="N44" s="5" t="s">
        <v>342</v>
      </c>
      <c r="O44" s="5">
        <v>1.609</v>
      </c>
      <c r="P44" s="287">
        <v>9.3600000000000003E-2</v>
      </c>
      <c r="Q44" s="287">
        <v>1.371E-2</v>
      </c>
      <c r="R44" s="91"/>
      <c r="S44" s="287">
        <v>1.2099999999999999E-3</v>
      </c>
      <c r="T44" s="287">
        <v>2.9340000000000001E-2</v>
      </c>
      <c r="U44" s="91"/>
      <c r="V44" s="99">
        <f t="shared" si="1"/>
        <v>0.13786000000000001</v>
      </c>
      <c r="W44" s="34"/>
      <c r="X44" s="34"/>
      <c r="Y44" s="34"/>
      <c r="Z44" s="34"/>
      <c r="AA44" s="34"/>
      <c r="AB44" s="34"/>
      <c r="AC44" s="34"/>
      <c r="AD44" s="34"/>
      <c r="AE44" s="34"/>
      <c r="AF44" s="34"/>
      <c r="AG44" s="34"/>
      <c r="AH44" s="34"/>
      <c r="AI44" s="34"/>
      <c r="AJ44" s="34"/>
      <c r="AK44" s="34"/>
      <c r="AL44" s="34"/>
      <c r="AM44" s="34"/>
      <c r="AN44" s="34" t="s">
        <v>296</v>
      </c>
      <c r="AO44" s="34" t="s">
        <v>296</v>
      </c>
      <c r="AP44" s="34" t="s">
        <v>296</v>
      </c>
      <c r="AQ44" s="34" t="s">
        <v>296</v>
      </c>
      <c r="AR44" s="34"/>
      <c r="AS44" s="34"/>
      <c r="AT44" s="34"/>
      <c r="AU44" s="34"/>
      <c r="AV44" s="34"/>
      <c r="AW44" s="34"/>
      <c r="AX44" s="34"/>
      <c r="AY44" s="34"/>
      <c r="AZ44" s="34"/>
      <c r="BA44" s="5"/>
    </row>
    <row r="45" spans="1:53" ht="26.5" thickBot="1" x14ac:dyDescent="0.4">
      <c r="A45" s="24" t="s">
        <v>297</v>
      </c>
      <c r="B45" s="24" t="s">
        <v>297</v>
      </c>
      <c r="C45" s="24" t="s">
        <v>296</v>
      </c>
      <c r="D45" s="24" t="s">
        <v>297</v>
      </c>
      <c r="E45" s="24" t="s">
        <v>297</v>
      </c>
      <c r="F45" s="24" t="s">
        <v>297</v>
      </c>
      <c r="G45" s="24" t="s">
        <v>297</v>
      </c>
      <c r="H45" s="24" t="s">
        <v>297</v>
      </c>
      <c r="I45" s="24" t="s">
        <v>297</v>
      </c>
      <c r="J45" s="5" t="s">
        <v>350</v>
      </c>
      <c r="K45" s="5" t="s">
        <v>98</v>
      </c>
      <c r="L45" s="5" t="s">
        <v>343</v>
      </c>
      <c r="M45" s="5" t="s">
        <v>341</v>
      </c>
      <c r="N45" s="5" t="s">
        <v>342</v>
      </c>
      <c r="O45" s="5">
        <v>1.609</v>
      </c>
      <c r="P45" s="91"/>
      <c r="Q45" s="287">
        <v>4.3580000000000001E-2</v>
      </c>
      <c r="R45" s="91"/>
      <c r="S45" s="287">
        <v>3.8600000000000001E-3</v>
      </c>
      <c r="T45" s="288">
        <v>1.0489999999999999E-2</v>
      </c>
      <c r="U45" s="91"/>
      <c r="V45" s="99">
        <f t="shared" si="1"/>
        <v>5.7930000000000002E-2</v>
      </c>
      <c r="W45" s="34"/>
      <c r="X45" s="34"/>
      <c r="Y45" s="34"/>
      <c r="Z45" s="34"/>
      <c r="AA45" s="34"/>
      <c r="AB45" s="34"/>
      <c r="AC45" s="34"/>
      <c r="AD45" s="34"/>
      <c r="AE45" s="34"/>
      <c r="AF45" s="34"/>
      <c r="AG45" s="34"/>
      <c r="AH45" s="34"/>
      <c r="AI45" s="34"/>
      <c r="AJ45" s="34"/>
      <c r="AK45" s="34"/>
      <c r="AL45" s="34"/>
      <c r="AM45" s="34"/>
      <c r="AN45" s="34"/>
      <c r="AO45" s="34" t="s">
        <v>296</v>
      </c>
      <c r="AP45" s="34" t="s">
        <v>296</v>
      </c>
      <c r="AQ45" s="34" t="s">
        <v>296</v>
      </c>
      <c r="AR45" s="34"/>
      <c r="AS45" s="34"/>
      <c r="AT45" s="34"/>
      <c r="AU45" s="34"/>
      <c r="AV45" s="34"/>
      <c r="AW45" s="34"/>
      <c r="AX45" s="34"/>
      <c r="AY45" s="34"/>
      <c r="AZ45" s="34"/>
      <c r="BA45" s="5"/>
    </row>
    <row r="46" spans="1:53" ht="15" thickBot="1" x14ac:dyDescent="0.4">
      <c r="A46" s="24" t="s">
        <v>297</v>
      </c>
      <c r="B46" s="24" t="s">
        <v>297</v>
      </c>
      <c r="C46" s="24" t="s">
        <v>296</v>
      </c>
      <c r="D46" s="24" t="s">
        <v>297</v>
      </c>
      <c r="E46" s="24" t="s">
        <v>297</v>
      </c>
      <c r="F46" s="24" t="s">
        <v>297</v>
      </c>
      <c r="G46" s="24" t="s">
        <v>297</v>
      </c>
      <c r="H46" s="24" t="s">
        <v>297</v>
      </c>
      <c r="I46" s="24" t="s">
        <v>297</v>
      </c>
      <c r="J46" s="5" t="s">
        <v>350</v>
      </c>
      <c r="K46" s="5" t="s">
        <v>98</v>
      </c>
      <c r="L46" s="5" t="s">
        <v>353</v>
      </c>
      <c r="M46" s="5" t="s">
        <v>341</v>
      </c>
      <c r="N46" s="5" t="s">
        <v>342</v>
      </c>
      <c r="O46" s="5">
        <v>1.609</v>
      </c>
      <c r="P46" s="287">
        <v>0.16691</v>
      </c>
      <c r="Q46" s="91"/>
      <c r="R46" s="91"/>
      <c r="S46" s="91"/>
      <c r="T46" s="288">
        <v>4.3990000000000001E-2</v>
      </c>
      <c r="U46" s="91"/>
      <c r="V46" s="99">
        <f t="shared" si="1"/>
        <v>0.2109</v>
      </c>
      <c r="W46" s="34"/>
      <c r="X46" s="34"/>
      <c r="Y46" s="34"/>
      <c r="Z46" s="34"/>
      <c r="AA46" s="34"/>
      <c r="AB46" s="34"/>
      <c r="AC46" s="34"/>
      <c r="AD46" s="34"/>
      <c r="AE46" s="34"/>
      <c r="AF46" s="34"/>
      <c r="AG46" s="34"/>
      <c r="AH46" s="34"/>
      <c r="AI46" s="34"/>
      <c r="AJ46" s="34"/>
      <c r="AK46" s="34"/>
      <c r="AL46" s="34"/>
      <c r="AM46" s="34"/>
      <c r="AN46" s="34" t="s">
        <v>296</v>
      </c>
      <c r="AO46" s="34" t="s">
        <v>296</v>
      </c>
      <c r="AP46" s="34"/>
      <c r="AQ46" s="34"/>
      <c r="AR46" s="34"/>
      <c r="AS46" s="34"/>
      <c r="AT46" s="34"/>
      <c r="AU46" s="34"/>
      <c r="AV46" s="34"/>
      <c r="AW46" s="34"/>
      <c r="AX46" s="34"/>
      <c r="AY46" s="34"/>
      <c r="AZ46" s="34"/>
      <c r="BA46" s="5"/>
    </row>
    <row r="47" spans="1:53" ht="15" thickBot="1" x14ac:dyDescent="0.4">
      <c r="A47" s="24" t="s">
        <v>297</v>
      </c>
      <c r="B47" s="24" t="s">
        <v>297</v>
      </c>
      <c r="C47" s="24" t="s">
        <v>297</v>
      </c>
      <c r="D47" s="24" t="s">
        <v>297</v>
      </c>
      <c r="E47" s="24" t="s">
        <v>297</v>
      </c>
      <c r="F47" s="24" t="s">
        <v>296</v>
      </c>
      <c r="G47" s="24" t="s">
        <v>296</v>
      </c>
      <c r="H47" s="24" t="s">
        <v>297</v>
      </c>
      <c r="I47" s="24" t="s">
        <v>297</v>
      </c>
      <c r="J47" s="5" t="s">
        <v>354</v>
      </c>
      <c r="K47" s="5" t="s">
        <v>355</v>
      </c>
      <c r="L47" s="5" t="s">
        <v>317</v>
      </c>
      <c r="M47" s="5" t="s">
        <v>341</v>
      </c>
      <c r="N47" s="5" t="s">
        <v>342</v>
      </c>
      <c r="O47" s="5">
        <v>1.609</v>
      </c>
      <c r="P47" s="91"/>
      <c r="Q47" s="91"/>
      <c r="R47" s="287">
        <v>0.13994000000000001</v>
      </c>
      <c r="S47" s="91"/>
      <c r="T47" s="287">
        <v>3.4090000000000002E-2</v>
      </c>
      <c r="U47" s="91"/>
      <c r="V47" s="99">
        <f t="shared" si="1"/>
        <v>0.17403000000000002</v>
      </c>
      <c r="W47" s="34"/>
      <c r="X47" s="34"/>
      <c r="Y47" s="34"/>
      <c r="Z47" s="34"/>
      <c r="AA47" s="34"/>
      <c r="AB47" s="34"/>
      <c r="AC47" s="34"/>
      <c r="AD47" s="34"/>
      <c r="AE47" s="34"/>
      <c r="AF47" s="34"/>
      <c r="AG47" s="34"/>
      <c r="AH47" s="34"/>
      <c r="AI47" s="34"/>
      <c r="AJ47" s="34"/>
      <c r="AK47" s="34"/>
      <c r="AL47" s="34"/>
      <c r="AM47" s="34"/>
      <c r="AN47" s="34" t="s">
        <v>296</v>
      </c>
      <c r="AO47" s="34" t="s">
        <v>296</v>
      </c>
      <c r="AP47" s="34"/>
      <c r="AQ47" s="34"/>
      <c r="AR47" s="34"/>
      <c r="AS47" s="34"/>
      <c r="AT47" s="34"/>
      <c r="AU47" s="34"/>
      <c r="AV47" s="34"/>
      <c r="AW47" s="34"/>
      <c r="AX47" s="34"/>
      <c r="AY47" s="34"/>
      <c r="AZ47" s="34"/>
      <c r="BA47" s="5"/>
    </row>
    <row r="48" spans="1:53" ht="15" thickBot="1" x14ac:dyDescent="0.4">
      <c r="A48" s="24" t="s">
        <v>297</v>
      </c>
      <c r="B48" s="24" t="s">
        <v>297</v>
      </c>
      <c r="C48" s="24" t="s">
        <v>297</v>
      </c>
      <c r="D48" s="24" t="s">
        <v>297</v>
      </c>
      <c r="E48" s="24" t="s">
        <v>297</v>
      </c>
      <c r="F48" s="24" t="s">
        <v>296</v>
      </c>
      <c r="G48" s="24" t="s">
        <v>296</v>
      </c>
      <c r="H48" s="24" t="s">
        <v>297</v>
      </c>
      <c r="I48" s="24" t="s">
        <v>297</v>
      </c>
      <c r="J48" s="5" t="s">
        <v>354</v>
      </c>
      <c r="K48" s="5" t="s">
        <v>356</v>
      </c>
      <c r="L48" s="5" t="s">
        <v>317</v>
      </c>
      <c r="M48" s="5" t="s">
        <v>341</v>
      </c>
      <c r="N48" s="5" t="s">
        <v>342</v>
      </c>
      <c r="O48" s="5">
        <v>1.609</v>
      </c>
      <c r="P48" s="91"/>
      <c r="Q48" s="91"/>
      <c r="R48" s="287">
        <v>0.16807</v>
      </c>
      <c r="S48" s="91"/>
      <c r="T48" s="287">
        <v>4.1029999999999997E-2</v>
      </c>
      <c r="U48" s="91"/>
      <c r="V48" s="99">
        <f t="shared" si="1"/>
        <v>0.20910000000000001</v>
      </c>
      <c r="W48" s="34"/>
      <c r="X48" s="34"/>
      <c r="Y48" s="34"/>
      <c r="Z48" s="34"/>
      <c r="AA48" s="34"/>
      <c r="AB48" s="34"/>
      <c r="AC48" s="34"/>
      <c r="AD48" s="34"/>
      <c r="AE48" s="34"/>
      <c r="AF48" s="34"/>
      <c r="AG48" s="34"/>
      <c r="AH48" s="34"/>
      <c r="AI48" s="34"/>
      <c r="AJ48" s="34"/>
      <c r="AK48" s="34"/>
      <c r="AL48" s="34"/>
      <c r="AM48" s="34"/>
      <c r="AN48" s="34" t="s">
        <v>296</v>
      </c>
      <c r="AO48" s="34" t="s">
        <v>296</v>
      </c>
      <c r="AP48" s="34"/>
      <c r="AQ48" s="34"/>
      <c r="AR48" s="34"/>
      <c r="AS48" s="34"/>
      <c r="AT48" s="34"/>
      <c r="AU48" s="34"/>
      <c r="AV48" s="34"/>
      <c r="AW48" s="34"/>
      <c r="AX48" s="34"/>
      <c r="AY48" s="34"/>
      <c r="AZ48" s="34"/>
      <c r="BA48" s="5"/>
    </row>
    <row r="49" spans="1:53" ht="15" thickBot="1" x14ac:dyDescent="0.4">
      <c r="A49" s="24" t="s">
        <v>297</v>
      </c>
      <c r="B49" s="24" t="s">
        <v>297</v>
      </c>
      <c r="C49" s="24" t="s">
        <v>297</v>
      </c>
      <c r="D49" s="24" t="s">
        <v>297</v>
      </c>
      <c r="E49" s="24" t="s">
        <v>297</v>
      </c>
      <c r="F49" s="24" t="s">
        <v>296</v>
      </c>
      <c r="G49" s="24" t="s">
        <v>296</v>
      </c>
      <c r="H49" s="24" t="s">
        <v>297</v>
      </c>
      <c r="I49" s="24" t="s">
        <v>297</v>
      </c>
      <c r="J49" s="5" t="s">
        <v>354</v>
      </c>
      <c r="K49" s="5" t="s">
        <v>357</v>
      </c>
      <c r="L49" s="5" t="s">
        <v>317</v>
      </c>
      <c r="M49" s="5" t="s">
        <v>341</v>
      </c>
      <c r="N49" s="5" t="s">
        <v>342</v>
      </c>
      <c r="O49" s="5">
        <v>1.609</v>
      </c>
      <c r="P49" s="91"/>
      <c r="Q49" s="91"/>
      <c r="R49" s="287">
        <v>0.20729</v>
      </c>
      <c r="S49" s="91"/>
      <c r="T49" s="287">
        <v>5.0700000000000002E-2</v>
      </c>
      <c r="U49" s="91"/>
      <c r="V49" s="99">
        <f t="shared" si="1"/>
        <v>0.25799</v>
      </c>
      <c r="W49" s="34"/>
      <c r="X49" s="34"/>
      <c r="Y49" s="34"/>
      <c r="Z49" s="34"/>
      <c r="AA49" s="34"/>
      <c r="AB49" s="34"/>
      <c r="AC49" s="34"/>
      <c r="AD49" s="34"/>
      <c r="AE49" s="34"/>
      <c r="AF49" s="34"/>
      <c r="AG49" s="34"/>
      <c r="AH49" s="34"/>
      <c r="AI49" s="34"/>
      <c r="AJ49" s="34"/>
      <c r="AK49" s="34"/>
      <c r="AL49" s="34"/>
      <c r="AM49" s="34"/>
      <c r="AN49" s="34" t="s">
        <v>296</v>
      </c>
      <c r="AO49" s="34" t="s">
        <v>296</v>
      </c>
      <c r="AP49" s="34"/>
      <c r="AQ49" s="34"/>
      <c r="AR49" s="34"/>
      <c r="AS49" s="34"/>
      <c r="AT49" s="34"/>
      <c r="AU49" s="34"/>
      <c r="AV49" s="34"/>
      <c r="AW49" s="34"/>
      <c r="AX49" s="34"/>
      <c r="AY49" s="34"/>
      <c r="AZ49" s="34"/>
      <c r="BA49" s="5"/>
    </row>
    <row r="50" spans="1:53" ht="15" thickBot="1" x14ac:dyDescent="0.4">
      <c r="A50" s="24" t="s">
        <v>297</v>
      </c>
      <c r="B50" s="24" t="s">
        <v>297</v>
      </c>
      <c r="C50" s="24" t="s">
        <v>297</v>
      </c>
      <c r="D50" s="24" t="s">
        <v>297</v>
      </c>
      <c r="E50" s="24" t="s">
        <v>297</v>
      </c>
      <c r="F50" s="24" t="s">
        <v>296</v>
      </c>
      <c r="G50" s="24" t="s">
        <v>296</v>
      </c>
      <c r="H50" s="24" t="s">
        <v>297</v>
      </c>
      <c r="I50" s="24" t="s">
        <v>297</v>
      </c>
      <c r="J50" s="5" t="s">
        <v>354</v>
      </c>
      <c r="K50" s="5" t="s">
        <v>98</v>
      </c>
      <c r="L50" s="5" t="s">
        <v>317</v>
      </c>
      <c r="M50" s="5" t="s">
        <v>341</v>
      </c>
      <c r="N50" s="5" t="s">
        <v>342</v>
      </c>
      <c r="O50" s="5">
        <v>1.609</v>
      </c>
      <c r="P50" s="91"/>
      <c r="Q50" s="91"/>
      <c r="R50" s="287">
        <v>0.16983999999999999</v>
      </c>
      <c r="S50" s="91"/>
      <c r="T50" s="287">
        <v>4.1459999999999997E-2</v>
      </c>
      <c r="U50" s="91"/>
      <c r="V50" s="99">
        <f t="shared" si="1"/>
        <v>0.21129999999999999</v>
      </c>
      <c r="W50" s="34"/>
      <c r="X50" s="34"/>
      <c r="Y50" s="34"/>
      <c r="Z50" s="34"/>
      <c r="AA50" s="34"/>
      <c r="AB50" s="34"/>
      <c r="AC50" s="34"/>
      <c r="AD50" s="34"/>
      <c r="AE50" s="34"/>
      <c r="AF50" s="34"/>
      <c r="AG50" s="34"/>
      <c r="AH50" s="34"/>
      <c r="AI50" s="34"/>
      <c r="AJ50" s="34"/>
      <c r="AK50" s="34"/>
      <c r="AL50" s="34"/>
      <c r="AM50" s="34"/>
      <c r="AN50" s="34" t="s">
        <v>296</v>
      </c>
      <c r="AO50" s="34" t="s">
        <v>296</v>
      </c>
      <c r="AP50" s="34"/>
      <c r="AQ50" s="34"/>
      <c r="AR50" s="34"/>
      <c r="AS50" s="34"/>
      <c r="AT50" s="34"/>
      <c r="AU50" s="34"/>
      <c r="AV50" s="34"/>
      <c r="AW50" s="34"/>
      <c r="AX50" s="34"/>
      <c r="AY50" s="34"/>
      <c r="AZ50" s="34"/>
      <c r="BA50" s="5"/>
    </row>
    <row r="51" spans="1:53" ht="15" thickBot="1" x14ac:dyDescent="0.4">
      <c r="A51" s="24" t="s">
        <v>297</v>
      </c>
      <c r="B51" s="24" t="s">
        <v>297</v>
      </c>
      <c r="C51" s="24" t="s">
        <v>297</v>
      </c>
      <c r="D51" s="24" t="s">
        <v>297</v>
      </c>
      <c r="E51" s="24" t="s">
        <v>297</v>
      </c>
      <c r="F51" s="24" t="s">
        <v>296</v>
      </c>
      <c r="G51" s="24" t="s">
        <v>296</v>
      </c>
      <c r="H51" s="24" t="s">
        <v>297</v>
      </c>
      <c r="I51" s="24" t="s">
        <v>297</v>
      </c>
      <c r="J51" s="5" t="s">
        <v>354</v>
      </c>
      <c r="K51" s="5" t="s">
        <v>355</v>
      </c>
      <c r="L51" s="5" t="s">
        <v>99</v>
      </c>
      <c r="M51" s="5" t="s">
        <v>341</v>
      </c>
      <c r="N51" s="5" t="s">
        <v>342</v>
      </c>
      <c r="O51" s="5">
        <v>1.609</v>
      </c>
      <c r="P51" s="91"/>
      <c r="Q51" s="91"/>
      <c r="R51" s="287">
        <v>0.14369999999999999</v>
      </c>
      <c r="S51" s="91"/>
      <c r="T51" s="287">
        <v>4.0149999999999998E-2</v>
      </c>
      <c r="U51" s="91"/>
      <c r="V51" s="99">
        <f t="shared" si="1"/>
        <v>0.18384999999999999</v>
      </c>
      <c r="W51" s="34"/>
      <c r="X51" s="34"/>
      <c r="Y51" s="34"/>
      <c r="Z51" s="34"/>
      <c r="AA51" s="34"/>
      <c r="AB51" s="34"/>
      <c r="AC51" s="34"/>
      <c r="AD51" s="34"/>
      <c r="AE51" s="34"/>
      <c r="AF51" s="34"/>
      <c r="AG51" s="34"/>
      <c r="AH51" s="34"/>
      <c r="AI51" s="34"/>
      <c r="AJ51" s="34"/>
      <c r="AK51" s="34"/>
      <c r="AL51" s="34"/>
      <c r="AM51" s="34"/>
      <c r="AN51" s="34" t="s">
        <v>296</v>
      </c>
      <c r="AO51" s="34" t="s">
        <v>296</v>
      </c>
      <c r="AP51" s="34"/>
      <c r="AQ51" s="34"/>
      <c r="AR51" s="34"/>
      <c r="AS51" s="34"/>
      <c r="AT51" s="34"/>
      <c r="AU51" s="34"/>
      <c r="AV51" s="34"/>
      <c r="AW51" s="34"/>
      <c r="AX51" s="34"/>
      <c r="AY51" s="34"/>
      <c r="AZ51" s="34"/>
      <c r="BA51" s="5"/>
    </row>
    <row r="52" spans="1:53" ht="15" thickBot="1" x14ac:dyDescent="0.4">
      <c r="A52" s="24" t="s">
        <v>297</v>
      </c>
      <c r="B52" s="24" t="s">
        <v>297</v>
      </c>
      <c r="C52" s="24" t="s">
        <v>297</v>
      </c>
      <c r="D52" s="24" t="s">
        <v>297</v>
      </c>
      <c r="E52" s="24" t="s">
        <v>297</v>
      </c>
      <c r="F52" s="24" t="s">
        <v>296</v>
      </c>
      <c r="G52" s="24" t="s">
        <v>296</v>
      </c>
      <c r="H52" s="24" t="s">
        <v>297</v>
      </c>
      <c r="I52" s="24" t="s">
        <v>297</v>
      </c>
      <c r="J52" s="5" t="s">
        <v>354</v>
      </c>
      <c r="K52" s="5" t="s">
        <v>356</v>
      </c>
      <c r="L52" s="5" t="s">
        <v>99</v>
      </c>
      <c r="M52" s="5" t="s">
        <v>341</v>
      </c>
      <c r="N52" s="5" t="s">
        <v>342</v>
      </c>
      <c r="O52" s="5">
        <v>1.609</v>
      </c>
      <c r="P52" s="91"/>
      <c r="Q52" s="91"/>
      <c r="R52" s="287">
        <v>0.17726</v>
      </c>
      <c r="S52" s="91"/>
      <c r="T52" s="287">
        <v>4.9570000000000003E-2</v>
      </c>
      <c r="U52" s="91"/>
      <c r="V52" s="99">
        <f t="shared" si="1"/>
        <v>0.22683</v>
      </c>
      <c r="W52" s="34"/>
      <c r="X52" s="34"/>
      <c r="Y52" s="34"/>
      <c r="Z52" s="34"/>
      <c r="AA52" s="34"/>
      <c r="AB52" s="34"/>
      <c r="AC52" s="34"/>
      <c r="AD52" s="34"/>
      <c r="AE52" s="34"/>
      <c r="AF52" s="34"/>
      <c r="AG52" s="34"/>
      <c r="AH52" s="34"/>
      <c r="AI52" s="34"/>
      <c r="AJ52" s="34"/>
      <c r="AK52" s="34"/>
      <c r="AL52" s="34"/>
      <c r="AM52" s="34"/>
      <c r="AN52" s="34" t="s">
        <v>296</v>
      </c>
      <c r="AO52" s="34" t="s">
        <v>296</v>
      </c>
      <c r="AP52" s="34"/>
      <c r="AQ52" s="34"/>
      <c r="AR52" s="34"/>
      <c r="AS52" s="34"/>
      <c r="AT52" s="34"/>
      <c r="AU52" s="34"/>
      <c r="AV52" s="34"/>
      <c r="AW52" s="34"/>
      <c r="AX52" s="34"/>
      <c r="AY52" s="34"/>
      <c r="AZ52" s="34"/>
      <c r="BA52" s="5"/>
    </row>
    <row r="53" spans="1:53" ht="15" thickBot="1" x14ac:dyDescent="0.4">
      <c r="A53" s="24" t="s">
        <v>297</v>
      </c>
      <c r="B53" s="24" t="s">
        <v>297</v>
      </c>
      <c r="C53" s="24" t="s">
        <v>297</v>
      </c>
      <c r="D53" s="24" t="s">
        <v>297</v>
      </c>
      <c r="E53" s="24" t="s">
        <v>297</v>
      </c>
      <c r="F53" s="24" t="s">
        <v>296</v>
      </c>
      <c r="G53" s="24" t="s">
        <v>296</v>
      </c>
      <c r="H53" s="24" t="s">
        <v>297</v>
      </c>
      <c r="I53" s="24" t="s">
        <v>297</v>
      </c>
      <c r="J53" s="5" t="s">
        <v>354</v>
      </c>
      <c r="K53" s="5" t="s">
        <v>357</v>
      </c>
      <c r="L53" s="5" t="s">
        <v>99</v>
      </c>
      <c r="M53" s="5" t="s">
        <v>341</v>
      </c>
      <c r="N53" s="5" t="s">
        <v>342</v>
      </c>
      <c r="O53" s="5">
        <v>1.609</v>
      </c>
      <c r="P53" s="91"/>
      <c r="Q53" s="91"/>
      <c r="R53" s="287">
        <v>0.26884999999999998</v>
      </c>
      <c r="S53" s="91"/>
      <c r="T53" s="287">
        <v>7.528E-2</v>
      </c>
      <c r="U53" s="91"/>
      <c r="V53" s="99">
        <f t="shared" si="1"/>
        <v>0.34412999999999999</v>
      </c>
      <c r="W53" s="34"/>
      <c r="X53" s="34"/>
      <c r="Y53" s="34"/>
      <c r="Z53" s="34"/>
      <c r="AA53" s="34"/>
      <c r="AB53" s="34"/>
      <c r="AC53" s="34"/>
      <c r="AD53" s="34"/>
      <c r="AE53" s="34"/>
      <c r="AF53" s="34"/>
      <c r="AG53" s="34"/>
      <c r="AH53" s="34"/>
      <c r="AI53" s="34"/>
      <c r="AJ53" s="34"/>
      <c r="AK53" s="34"/>
      <c r="AL53" s="34"/>
      <c r="AM53" s="34"/>
      <c r="AN53" s="34" t="s">
        <v>296</v>
      </c>
      <c r="AO53" s="34" t="s">
        <v>296</v>
      </c>
      <c r="AP53" s="34"/>
      <c r="AQ53" s="34"/>
      <c r="AR53" s="34"/>
      <c r="AS53" s="34"/>
      <c r="AT53" s="34"/>
      <c r="AU53" s="34"/>
      <c r="AV53" s="34"/>
      <c r="AW53" s="34"/>
      <c r="AX53" s="34"/>
      <c r="AY53" s="34"/>
      <c r="AZ53" s="34"/>
      <c r="BA53" s="5"/>
    </row>
    <row r="54" spans="1:53" ht="15" thickBot="1" x14ac:dyDescent="0.4">
      <c r="A54" s="24" t="s">
        <v>297</v>
      </c>
      <c r="B54" s="24" t="s">
        <v>297</v>
      </c>
      <c r="C54" s="24" t="s">
        <v>297</v>
      </c>
      <c r="D54" s="24" t="s">
        <v>297</v>
      </c>
      <c r="E54" s="24" t="s">
        <v>297</v>
      </c>
      <c r="F54" s="24" t="s">
        <v>296</v>
      </c>
      <c r="G54" s="24" t="s">
        <v>296</v>
      </c>
      <c r="H54" s="24" t="s">
        <v>297</v>
      </c>
      <c r="I54" s="24" t="s">
        <v>297</v>
      </c>
      <c r="J54" s="5" t="s">
        <v>354</v>
      </c>
      <c r="K54" s="5" t="s">
        <v>98</v>
      </c>
      <c r="L54" s="5" t="s">
        <v>99</v>
      </c>
      <c r="M54" s="5" t="s">
        <v>341</v>
      </c>
      <c r="N54" s="5" t="s">
        <v>342</v>
      </c>
      <c r="O54" s="5">
        <v>1.609</v>
      </c>
      <c r="P54" s="91"/>
      <c r="Q54" s="91"/>
      <c r="R54" s="287">
        <v>0.16450000000000001</v>
      </c>
      <c r="S54" s="91"/>
      <c r="T54" s="287">
        <v>4.5990000000000003E-2</v>
      </c>
      <c r="U54" s="91"/>
      <c r="V54" s="99">
        <f t="shared" si="1"/>
        <v>0.21049000000000001</v>
      </c>
      <c r="W54" s="34"/>
      <c r="X54" s="34"/>
      <c r="Y54" s="34"/>
      <c r="Z54" s="34"/>
      <c r="AA54" s="34"/>
      <c r="AB54" s="34"/>
      <c r="AC54" s="34"/>
      <c r="AD54" s="34"/>
      <c r="AE54" s="34"/>
      <c r="AF54" s="34"/>
      <c r="AG54" s="34"/>
      <c r="AH54" s="34"/>
      <c r="AI54" s="34"/>
      <c r="AJ54" s="34"/>
      <c r="AK54" s="34"/>
      <c r="AL54" s="34"/>
      <c r="AM54" s="34"/>
      <c r="AN54" s="34" t="s">
        <v>296</v>
      </c>
      <c r="AO54" s="34" t="s">
        <v>296</v>
      </c>
      <c r="AP54" s="34"/>
      <c r="AQ54" s="34"/>
      <c r="AR54" s="34"/>
      <c r="AS54" s="34"/>
      <c r="AT54" s="34"/>
      <c r="AU54" s="34"/>
      <c r="AV54" s="34"/>
      <c r="AW54" s="34"/>
      <c r="AX54" s="34"/>
      <c r="AY54" s="34"/>
      <c r="AZ54" s="34"/>
      <c r="BA54" s="5"/>
    </row>
    <row r="55" spans="1:53" ht="15" thickBot="1" x14ac:dyDescent="0.4">
      <c r="A55" s="24" t="s">
        <v>297</v>
      </c>
      <c r="B55" s="24" t="s">
        <v>297</v>
      </c>
      <c r="C55" s="24" t="s">
        <v>297</v>
      </c>
      <c r="D55" s="24" t="s">
        <v>297</v>
      </c>
      <c r="E55" s="24" t="s">
        <v>297</v>
      </c>
      <c r="F55" s="24" t="s">
        <v>296</v>
      </c>
      <c r="G55" s="24" t="s">
        <v>296</v>
      </c>
      <c r="H55" s="24" t="s">
        <v>297</v>
      </c>
      <c r="I55" s="24" t="s">
        <v>297</v>
      </c>
      <c r="J55" s="5" t="s">
        <v>354</v>
      </c>
      <c r="K55" s="5" t="s">
        <v>355</v>
      </c>
      <c r="L55" s="5" t="s">
        <v>351</v>
      </c>
      <c r="M55" s="5" t="s">
        <v>341</v>
      </c>
      <c r="N55" s="5" t="s">
        <v>342</v>
      </c>
      <c r="O55" s="5">
        <v>1.609</v>
      </c>
      <c r="P55" s="91"/>
      <c r="Q55" s="91"/>
      <c r="R55" s="287">
        <v>0.11274000000000001</v>
      </c>
      <c r="S55" s="91"/>
      <c r="T55" s="287">
        <v>3.0259999999999999E-2</v>
      </c>
      <c r="U55" s="91"/>
      <c r="V55" s="99">
        <f t="shared" si="1"/>
        <v>0.14300000000000002</v>
      </c>
      <c r="W55" s="34"/>
      <c r="X55" s="34"/>
      <c r="Y55" s="34"/>
      <c r="Z55" s="34"/>
      <c r="AA55" s="34"/>
      <c r="AB55" s="34"/>
      <c r="AC55" s="34"/>
      <c r="AD55" s="34"/>
      <c r="AE55" s="34"/>
      <c r="AF55" s="34"/>
      <c r="AG55" s="34"/>
      <c r="AH55" s="34"/>
      <c r="AI55" s="34"/>
      <c r="AJ55" s="34"/>
      <c r="AK55" s="34"/>
      <c r="AL55" s="34"/>
      <c r="AM55" s="34"/>
      <c r="AN55" s="34" t="s">
        <v>296</v>
      </c>
      <c r="AO55" s="34" t="s">
        <v>296</v>
      </c>
      <c r="AP55" s="34"/>
      <c r="AQ55" s="34"/>
      <c r="AR55" s="34"/>
      <c r="AS55" s="34"/>
      <c r="AT55" s="34"/>
      <c r="AU55" s="34"/>
      <c r="AV55" s="34"/>
      <c r="AW55" s="34"/>
      <c r="AX55" s="34"/>
      <c r="AY55" s="34"/>
      <c r="AZ55" s="34"/>
      <c r="BA55" s="5"/>
    </row>
    <row r="56" spans="1:53" ht="15" thickBot="1" x14ac:dyDescent="0.4">
      <c r="A56" s="24" t="s">
        <v>297</v>
      </c>
      <c r="B56" s="24" t="s">
        <v>297</v>
      </c>
      <c r="C56" s="24" t="s">
        <v>297</v>
      </c>
      <c r="D56" s="24" t="s">
        <v>297</v>
      </c>
      <c r="E56" s="24" t="s">
        <v>297</v>
      </c>
      <c r="F56" s="24" t="s">
        <v>296</v>
      </c>
      <c r="G56" s="24" t="s">
        <v>296</v>
      </c>
      <c r="H56" s="24" t="s">
        <v>297</v>
      </c>
      <c r="I56" s="24" t="s">
        <v>297</v>
      </c>
      <c r="J56" s="5" t="s">
        <v>354</v>
      </c>
      <c r="K56" s="5" t="s">
        <v>356</v>
      </c>
      <c r="L56" s="5" t="s">
        <v>351</v>
      </c>
      <c r="M56" s="5" t="s">
        <v>341</v>
      </c>
      <c r="N56" s="5" t="s">
        <v>342</v>
      </c>
      <c r="O56" s="5">
        <v>1.609</v>
      </c>
      <c r="P56" s="91"/>
      <c r="Q56" s="91"/>
      <c r="R56" s="287">
        <v>0.1149</v>
      </c>
      <c r="S56" s="91"/>
      <c r="T56" s="287">
        <v>2.998E-2</v>
      </c>
      <c r="U56" s="91"/>
      <c r="V56" s="99">
        <f t="shared" si="1"/>
        <v>0.14488000000000001</v>
      </c>
      <c r="W56" s="34"/>
      <c r="X56" s="34"/>
      <c r="Y56" s="34"/>
      <c r="Z56" s="34"/>
      <c r="AA56" s="34"/>
      <c r="AB56" s="34"/>
      <c r="AC56" s="34"/>
      <c r="AD56" s="34"/>
      <c r="AE56" s="34"/>
      <c r="AF56" s="34"/>
      <c r="AG56" s="34"/>
      <c r="AH56" s="34"/>
      <c r="AI56" s="34"/>
      <c r="AJ56" s="34"/>
      <c r="AK56" s="34"/>
      <c r="AL56" s="34"/>
      <c r="AM56" s="34"/>
      <c r="AN56" s="34" t="s">
        <v>296</v>
      </c>
      <c r="AO56" s="34" t="s">
        <v>296</v>
      </c>
      <c r="AP56" s="34"/>
      <c r="AQ56" s="34"/>
      <c r="AR56" s="34"/>
      <c r="AS56" s="34"/>
      <c r="AT56" s="34"/>
      <c r="AU56" s="34"/>
      <c r="AV56" s="34"/>
      <c r="AW56" s="34"/>
      <c r="AX56" s="34"/>
      <c r="AY56" s="34"/>
      <c r="AZ56" s="34"/>
      <c r="BA56" s="5"/>
    </row>
    <row r="57" spans="1:53" ht="15" thickBot="1" x14ac:dyDescent="0.4">
      <c r="A57" s="24" t="s">
        <v>297</v>
      </c>
      <c r="B57" s="24" t="s">
        <v>297</v>
      </c>
      <c r="C57" s="24" t="s">
        <v>297</v>
      </c>
      <c r="D57" s="24" t="s">
        <v>297</v>
      </c>
      <c r="E57" s="24" t="s">
        <v>297</v>
      </c>
      <c r="F57" s="24" t="s">
        <v>296</v>
      </c>
      <c r="G57" s="24" t="s">
        <v>296</v>
      </c>
      <c r="H57" s="24" t="s">
        <v>297</v>
      </c>
      <c r="I57" s="24" t="s">
        <v>297</v>
      </c>
      <c r="J57" s="5" t="s">
        <v>354</v>
      </c>
      <c r="K57" s="5" t="s">
        <v>357</v>
      </c>
      <c r="L57" s="5" t="s">
        <v>351</v>
      </c>
      <c r="M57" s="5" t="s">
        <v>341</v>
      </c>
      <c r="N57" s="5" t="s">
        <v>342</v>
      </c>
      <c r="O57" s="5">
        <v>1.609</v>
      </c>
      <c r="P57" s="91"/>
      <c r="Q57" s="91"/>
      <c r="R57" s="287">
        <v>0.15486</v>
      </c>
      <c r="S57" s="91"/>
      <c r="T57" s="287">
        <v>3.9609999999999999E-2</v>
      </c>
      <c r="U57" s="91"/>
      <c r="V57" s="99">
        <f t="shared" si="1"/>
        <v>0.19447</v>
      </c>
      <c r="W57" s="34"/>
      <c r="X57" s="34"/>
      <c r="Y57" s="34"/>
      <c r="Z57" s="34"/>
      <c r="AA57" s="34"/>
      <c r="AB57" s="34"/>
      <c r="AC57" s="34"/>
      <c r="AD57" s="34"/>
      <c r="AE57" s="34"/>
      <c r="AF57" s="34"/>
      <c r="AG57" s="34"/>
      <c r="AH57" s="34"/>
      <c r="AI57" s="34"/>
      <c r="AJ57" s="34"/>
      <c r="AK57" s="34"/>
      <c r="AL57" s="34"/>
      <c r="AM57" s="34"/>
      <c r="AN57" s="34" t="s">
        <v>296</v>
      </c>
      <c r="AO57" s="34" t="s">
        <v>296</v>
      </c>
      <c r="AP57" s="34"/>
      <c r="AQ57" s="34"/>
      <c r="AR57" s="34"/>
      <c r="AS57" s="34"/>
      <c r="AT57" s="34"/>
      <c r="AU57" s="34"/>
      <c r="AV57" s="34"/>
      <c r="AW57" s="34"/>
      <c r="AX57" s="34"/>
      <c r="AY57" s="34"/>
      <c r="AZ57" s="34"/>
      <c r="BA57" s="5"/>
    </row>
    <row r="58" spans="1:53" ht="15" thickBot="1" x14ac:dyDescent="0.4">
      <c r="A58" s="24" t="s">
        <v>297</v>
      </c>
      <c r="B58" s="24" t="s">
        <v>297</v>
      </c>
      <c r="C58" s="24" t="s">
        <v>297</v>
      </c>
      <c r="D58" s="24" t="s">
        <v>297</v>
      </c>
      <c r="E58" s="24" t="s">
        <v>297</v>
      </c>
      <c r="F58" s="24" t="s">
        <v>296</v>
      </c>
      <c r="G58" s="24" t="s">
        <v>296</v>
      </c>
      <c r="H58" s="24" t="s">
        <v>297</v>
      </c>
      <c r="I58" s="24" t="s">
        <v>297</v>
      </c>
      <c r="J58" s="5" t="s">
        <v>354</v>
      </c>
      <c r="K58" s="5" t="s">
        <v>98</v>
      </c>
      <c r="L58" s="5" t="s">
        <v>351</v>
      </c>
      <c r="M58" s="5" t="s">
        <v>341</v>
      </c>
      <c r="N58" s="5" t="s">
        <v>342</v>
      </c>
      <c r="O58" s="5">
        <v>1.609</v>
      </c>
      <c r="P58" s="91"/>
      <c r="Q58" s="91"/>
      <c r="R58" s="287">
        <v>0.12606999999999999</v>
      </c>
      <c r="S58" s="91"/>
      <c r="T58" s="287">
        <v>3.3149999999999999E-2</v>
      </c>
      <c r="U58" s="91"/>
      <c r="V58" s="99">
        <f t="shared" si="1"/>
        <v>0.15921999999999997</v>
      </c>
      <c r="W58" s="34"/>
      <c r="X58" s="34"/>
      <c r="Y58" s="34"/>
      <c r="Z58" s="34"/>
      <c r="AA58" s="34"/>
      <c r="AB58" s="34"/>
      <c r="AC58" s="34"/>
      <c r="AD58" s="34"/>
      <c r="AE58" s="34"/>
      <c r="AF58" s="34"/>
      <c r="AG58" s="34"/>
      <c r="AH58" s="34"/>
      <c r="AI58" s="34"/>
      <c r="AJ58" s="34"/>
      <c r="AK58" s="34"/>
      <c r="AL58" s="34"/>
      <c r="AM58" s="34"/>
      <c r="AN58" s="34" t="s">
        <v>296</v>
      </c>
      <c r="AO58" s="34" t="s">
        <v>296</v>
      </c>
      <c r="AP58" s="34"/>
      <c r="AQ58" s="34"/>
      <c r="AR58" s="34"/>
      <c r="AS58" s="34"/>
      <c r="AT58" s="34"/>
      <c r="AU58" s="34"/>
      <c r="AV58" s="34"/>
      <c r="AW58" s="34"/>
      <c r="AX58" s="34"/>
      <c r="AY58" s="34"/>
      <c r="AZ58" s="34"/>
      <c r="BA58" s="5"/>
    </row>
    <row r="59" spans="1:53" ht="26.5" thickBot="1" x14ac:dyDescent="0.4">
      <c r="A59" s="24" t="s">
        <v>297</v>
      </c>
      <c r="B59" s="24" t="s">
        <v>297</v>
      </c>
      <c r="C59" s="24" t="s">
        <v>297</v>
      </c>
      <c r="D59" s="24" t="s">
        <v>297</v>
      </c>
      <c r="E59" s="24" t="s">
        <v>297</v>
      </c>
      <c r="F59" s="24" t="s">
        <v>296</v>
      </c>
      <c r="G59" s="24" t="s">
        <v>296</v>
      </c>
      <c r="H59" s="24" t="s">
        <v>297</v>
      </c>
      <c r="I59" s="24" t="s">
        <v>297</v>
      </c>
      <c r="J59" s="5" t="s">
        <v>354</v>
      </c>
      <c r="K59" s="5" t="s">
        <v>355</v>
      </c>
      <c r="L59" s="5" t="s">
        <v>352</v>
      </c>
      <c r="M59" s="5" t="s">
        <v>341</v>
      </c>
      <c r="N59" s="5" t="s">
        <v>342</v>
      </c>
      <c r="O59" s="5">
        <v>1.609</v>
      </c>
      <c r="P59" s="91"/>
      <c r="Q59" s="91"/>
      <c r="R59" s="287">
        <v>5.8290000000000002E-2</v>
      </c>
      <c r="S59" s="287">
        <v>2.49E-3</v>
      </c>
      <c r="T59" s="287">
        <v>1.52E-2</v>
      </c>
      <c r="U59" s="91"/>
      <c r="V59" s="99">
        <f t="shared" si="1"/>
        <v>7.5980000000000006E-2</v>
      </c>
      <c r="W59" s="34"/>
      <c r="X59" s="34"/>
      <c r="Y59" s="34"/>
      <c r="Z59" s="34"/>
      <c r="AA59" s="34"/>
      <c r="AB59" s="34"/>
      <c r="AC59" s="34"/>
      <c r="AD59" s="34"/>
      <c r="AE59" s="34"/>
      <c r="AF59" s="34"/>
      <c r="AG59" s="34"/>
      <c r="AH59" s="34"/>
      <c r="AI59" s="34"/>
      <c r="AJ59" s="34"/>
      <c r="AK59" s="34"/>
      <c r="AL59" s="34"/>
      <c r="AM59" s="34"/>
      <c r="AN59" s="34" t="s">
        <v>296</v>
      </c>
      <c r="AO59" s="34" t="s">
        <v>296</v>
      </c>
      <c r="AP59" s="34"/>
      <c r="AQ59" s="34"/>
      <c r="AR59" s="34"/>
      <c r="AS59" s="34"/>
      <c r="AT59" s="34"/>
      <c r="AU59" s="34"/>
      <c r="AV59" s="34"/>
      <c r="AW59" s="34"/>
      <c r="AX59" s="34"/>
      <c r="AY59" s="34"/>
      <c r="AZ59" s="34"/>
      <c r="BA59" s="5"/>
    </row>
    <row r="60" spans="1:53" ht="26.5" thickBot="1" x14ac:dyDescent="0.4">
      <c r="A60" s="24" t="s">
        <v>297</v>
      </c>
      <c r="B60" s="24" t="s">
        <v>297</v>
      </c>
      <c r="C60" s="24" t="s">
        <v>297</v>
      </c>
      <c r="D60" s="24" t="s">
        <v>297</v>
      </c>
      <c r="E60" s="24" t="s">
        <v>297</v>
      </c>
      <c r="F60" s="24" t="s">
        <v>296</v>
      </c>
      <c r="G60" s="24" t="s">
        <v>296</v>
      </c>
      <c r="H60" s="24" t="s">
        <v>297</v>
      </c>
      <c r="I60" s="24" t="s">
        <v>297</v>
      </c>
      <c r="J60" s="5" t="s">
        <v>354</v>
      </c>
      <c r="K60" s="5" t="s">
        <v>356</v>
      </c>
      <c r="L60" s="5" t="s">
        <v>352</v>
      </c>
      <c r="M60" s="5" t="s">
        <v>341</v>
      </c>
      <c r="N60" s="5" t="s">
        <v>342</v>
      </c>
      <c r="O60" s="5">
        <v>1.609</v>
      </c>
      <c r="P60" s="91"/>
      <c r="Q60" s="91"/>
      <c r="R60" s="287">
        <v>9.2149999999999996E-2</v>
      </c>
      <c r="S60" s="287">
        <v>9.7000000000000005E-4</v>
      </c>
      <c r="T60" s="287">
        <v>2.5239999999999999E-2</v>
      </c>
      <c r="U60" s="91"/>
      <c r="V60" s="99">
        <f t="shared" si="1"/>
        <v>0.11835999999999999</v>
      </c>
      <c r="W60" s="34"/>
      <c r="X60" s="34"/>
      <c r="Y60" s="34"/>
      <c r="Z60" s="34"/>
      <c r="AA60" s="34"/>
      <c r="AB60" s="34"/>
      <c r="AC60" s="34"/>
      <c r="AD60" s="34"/>
      <c r="AE60" s="34"/>
      <c r="AF60" s="34"/>
      <c r="AG60" s="34"/>
      <c r="AH60" s="34"/>
      <c r="AI60" s="34"/>
      <c r="AJ60" s="34"/>
      <c r="AK60" s="34"/>
      <c r="AL60" s="34"/>
      <c r="AM60" s="34"/>
      <c r="AN60" s="34" t="s">
        <v>296</v>
      </c>
      <c r="AO60" s="34" t="s">
        <v>296</v>
      </c>
      <c r="AP60" s="34"/>
      <c r="AQ60" s="34"/>
      <c r="AR60" s="34"/>
      <c r="AS60" s="34"/>
      <c r="AT60" s="34"/>
      <c r="AU60" s="34"/>
      <c r="AV60" s="34"/>
      <c r="AW60" s="34"/>
      <c r="AX60" s="34"/>
      <c r="AY60" s="34"/>
      <c r="AZ60" s="34"/>
      <c r="BA60" s="5"/>
    </row>
    <row r="61" spans="1:53" ht="26.5" thickBot="1" x14ac:dyDescent="0.4">
      <c r="A61" s="24" t="s">
        <v>297</v>
      </c>
      <c r="B61" s="24" t="s">
        <v>297</v>
      </c>
      <c r="C61" s="24" t="s">
        <v>297</v>
      </c>
      <c r="D61" s="24" t="s">
        <v>297</v>
      </c>
      <c r="E61" s="24" t="s">
        <v>297</v>
      </c>
      <c r="F61" s="24" t="s">
        <v>296</v>
      </c>
      <c r="G61" s="24" t="s">
        <v>296</v>
      </c>
      <c r="H61" s="24" t="s">
        <v>297</v>
      </c>
      <c r="I61" s="24" t="s">
        <v>297</v>
      </c>
      <c r="J61" s="5" t="s">
        <v>354</v>
      </c>
      <c r="K61" s="5" t="s">
        <v>357</v>
      </c>
      <c r="L61" s="5" t="s">
        <v>352</v>
      </c>
      <c r="M61" s="5" t="s">
        <v>341</v>
      </c>
      <c r="N61" s="5" t="s">
        <v>342</v>
      </c>
      <c r="O61" s="5">
        <v>1.609</v>
      </c>
      <c r="P61" s="91"/>
      <c r="Q61" s="91"/>
      <c r="R61" s="287">
        <v>0.11792</v>
      </c>
      <c r="S61" s="287">
        <v>1.31E-3</v>
      </c>
      <c r="T61" s="287">
        <v>3.2210000000000003E-2</v>
      </c>
      <c r="U61" s="91"/>
      <c r="V61" s="99">
        <f t="shared" si="1"/>
        <v>0.15144000000000002</v>
      </c>
      <c r="W61" s="34"/>
      <c r="X61" s="34"/>
      <c r="Y61" s="34"/>
      <c r="Z61" s="34"/>
      <c r="AA61" s="34"/>
      <c r="AB61" s="34"/>
      <c r="AC61" s="34"/>
      <c r="AD61" s="34"/>
      <c r="AE61" s="34"/>
      <c r="AF61" s="34"/>
      <c r="AG61" s="34"/>
      <c r="AH61" s="34"/>
      <c r="AI61" s="34"/>
      <c r="AJ61" s="34"/>
      <c r="AK61" s="34"/>
      <c r="AL61" s="34"/>
      <c r="AM61" s="34"/>
      <c r="AN61" s="34" t="s">
        <v>296</v>
      </c>
      <c r="AO61" s="34" t="s">
        <v>296</v>
      </c>
      <c r="AP61" s="34"/>
      <c r="AQ61" s="34"/>
      <c r="AR61" s="34"/>
      <c r="AS61" s="34"/>
      <c r="AT61" s="34"/>
      <c r="AU61" s="34"/>
      <c r="AV61" s="34"/>
      <c r="AW61" s="34"/>
      <c r="AX61" s="34"/>
      <c r="AY61" s="34"/>
      <c r="AZ61" s="34"/>
      <c r="BA61" s="5"/>
    </row>
    <row r="62" spans="1:53" ht="26.5" thickBot="1" x14ac:dyDescent="0.4">
      <c r="A62" s="24" t="s">
        <v>297</v>
      </c>
      <c r="B62" s="24" t="s">
        <v>297</v>
      </c>
      <c r="C62" s="24" t="s">
        <v>297</v>
      </c>
      <c r="D62" s="24" t="s">
        <v>297</v>
      </c>
      <c r="E62" s="24" t="s">
        <v>297</v>
      </c>
      <c r="F62" s="24" t="s">
        <v>296</v>
      </c>
      <c r="G62" s="24" t="s">
        <v>296</v>
      </c>
      <c r="H62" s="24" t="s">
        <v>297</v>
      </c>
      <c r="I62" s="24" t="s">
        <v>297</v>
      </c>
      <c r="J62" s="5" t="s">
        <v>354</v>
      </c>
      <c r="K62" s="5" t="s">
        <v>98</v>
      </c>
      <c r="L62" s="5" t="s">
        <v>352</v>
      </c>
      <c r="M62" s="5" t="s">
        <v>341</v>
      </c>
      <c r="N62" s="5" t="s">
        <v>342</v>
      </c>
      <c r="O62" s="5">
        <v>1.609</v>
      </c>
      <c r="P62" s="91"/>
      <c r="Q62" s="91"/>
      <c r="R62" s="287">
        <v>0.10732</v>
      </c>
      <c r="S62" s="287">
        <v>1.2099999999999999E-3</v>
      </c>
      <c r="T62" s="287">
        <v>2.9340000000000001E-2</v>
      </c>
      <c r="U62" s="91"/>
      <c r="V62" s="99">
        <f t="shared" si="1"/>
        <v>0.13786999999999999</v>
      </c>
      <c r="W62" s="34"/>
      <c r="X62" s="34"/>
      <c r="Y62" s="34"/>
      <c r="Z62" s="34"/>
      <c r="AA62" s="34"/>
      <c r="AB62" s="34"/>
      <c r="AC62" s="34"/>
      <c r="AD62" s="34"/>
      <c r="AE62" s="34"/>
      <c r="AF62" s="34"/>
      <c r="AG62" s="34"/>
      <c r="AH62" s="34"/>
      <c r="AI62" s="34"/>
      <c r="AJ62" s="34"/>
      <c r="AK62" s="34"/>
      <c r="AL62" s="34"/>
      <c r="AM62" s="34"/>
      <c r="AN62" s="34" t="s">
        <v>296</v>
      </c>
      <c r="AO62" s="34" t="s">
        <v>296</v>
      </c>
      <c r="AP62" s="34"/>
      <c r="AQ62" s="34"/>
      <c r="AR62" s="34"/>
      <c r="AS62" s="34"/>
      <c r="AT62" s="34"/>
      <c r="AU62" s="34"/>
      <c r="AV62" s="34"/>
      <c r="AW62" s="34"/>
      <c r="AX62" s="34"/>
      <c r="AY62" s="34"/>
      <c r="AZ62" s="34"/>
      <c r="BA62" s="5"/>
    </row>
    <row r="63" spans="1:53" ht="26.5" thickBot="1" x14ac:dyDescent="0.4">
      <c r="A63" s="24" t="s">
        <v>297</v>
      </c>
      <c r="B63" s="24" t="s">
        <v>297</v>
      </c>
      <c r="C63" s="24" t="s">
        <v>297</v>
      </c>
      <c r="D63" s="24" t="s">
        <v>297</v>
      </c>
      <c r="E63" s="24" t="s">
        <v>297</v>
      </c>
      <c r="F63" s="24" t="s">
        <v>296</v>
      </c>
      <c r="G63" s="24" t="s">
        <v>296</v>
      </c>
      <c r="H63" s="24" t="s">
        <v>297</v>
      </c>
      <c r="I63" s="24" t="s">
        <v>297</v>
      </c>
      <c r="J63" s="5" t="s">
        <v>354</v>
      </c>
      <c r="K63" s="5" t="s">
        <v>355</v>
      </c>
      <c r="L63" s="5" t="s">
        <v>343</v>
      </c>
      <c r="M63" s="5" t="s">
        <v>341</v>
      </c>
      <c r="N63" s="5" t="s">
        <v>342</v>
      </c>
      <c r="O63" s="5">
        <v>1.609</v>
      </c>
      <c r="P63" s="91"/>
      <c r="Q63" s="91"/>
      <c r="R63" s="287">
        <v>3.9370000000000002E-2</v>
      </c>
      <c r="S63" s="287">
        <v>3.47E-3</v>
      </c>
      <c r="T63" s="287">
        <v>9.4800000000000006E-3</v>
      </c>
      <c r="U63" s="91"/>
      <c r="V63" s="99">
        <f t="shared" si="1"/>
        <v>5.2320000000000005E-2</v>
      </c>
      <c r="W63" s="34"/>
      <c r="X63" s="34"/>
      <c r="Y63" s="34"/>
      <c r="Z63" s="34"/>
      <c r="AA63" s="34"/>
      <c r="AB63" s="34"/>
      <c r="AC63" s="34"/>
      <c r="AD63" s="34"/>
      <c r="AE63" s="34"/>
      <c r="AF63" s="34"/>
      <c r="AG63" s="34"/>
      <c r="AH63" s="34"/>
      <c r="AI63" s="34"/>
      <c r="AJ63" s="34"/>
      <c r="AK63" s="34"/>
      <c r="AL63" s="34"/>
      <c r="AM63" s="34"/>
      <c r="AN63" s="34" t="s">
        <v>296</v>
      </c>
      <c r="AO63" s="34" t="s">
        <v>296</v>
      </c>
      <c r="AP63" s="34"/>
      <c r="AQ63" s="34"/>
      <c r="AR63" s="34"/>
      <c r="AS63" s="34"/>
      <c r="AT63" s="34"/>
      <c r="AU63" s="34"/>
      <c r="AV63" s="34"/>
      <c r="AW63" s="34"/>
      <c r="AX63" s="34"/>
      <c r="AY63" s="34"/>
      <c r="AZ63" s="34"/>
      <c r="BA63" s="5"/>
    </row>
    <row r="64" spans="1:53" ht="26.5" thickBot="1" x14ac:dyDescent="0.4">
      <c r="A64" s="24" t="s">
        <v>297</v>
      </c>
      <c r="B64" s="24" t="s">
        <v>297</v>
      </c>
      <c r="C64" s="24" t="s">
        <v>297</v>
      </c>
      <c r="D64" s="24" t="s">
        <v>297</v>
      </c>
      <c r="E64" s="24" t="s">
        <v>297</v>
      </c>
      <c r="F64" s="24" t="s">
        <v>296</v>
      </c>
      <c r="G64" s="24" t="s">
        <v>296</v>
      </c>
      <c r="H64" s="24" t="s">
        <v>297</v>
      </c>
      <c r="I64" s="24" t="s">
        <v>297</v>
      </c>
      <c r="J64" s="5" t="s">
        <v>354</v>
      </c>
      <c r="K64" s="5" t="s">
        <v>356</v>
      </c>
      <c r="L64" s="5" t="s">
        <v>343</v>
      </c>
      <c r="M64" s="5" t="s">
        <v>341</v>
      </c>
      <c r="N64" s="5" t="s">
        <v>342</v>
      </c>
      <c r="O64" s="5">
        <v>1.609</v>
      </c>
      <c r="P64" s="91"/>
      <c r="Q64" s="91"/>
      <c r="R64" s="287">
        <v>4.249E-2</v>
      </c>
      <c r="S64" s="287">
        <v>3.7599999999999999E-3</v>
      </c>
      <c r="T64" s="287">
        <v>1.022E-2</v>
      </c>
      <c r="U64" s="91"/>
      <c r="V64" s="99">
        <f t="shared" si="1"/>
        <v>5.6469999999999999E-2</v>
      </c>
      <c r="W64" s="34"/>
      <c r="X64" s="34"/>
      <c r="Y64" s="34"/>
      <c r="Z64" s="34"/>
      <c r="AA64" s="34"/>
      <c r="AB64" s="34"/>
      <c r="AC64" s="34"/>
      <c r="AD64" s="34"/>
      <c r="AE64" s="34"/>
      <c r="AF64" s="34"/>
      <c r="AG64" s="34"/>
      <c r="AH64" s="34"/>
      <c r="AI64" s="34"/>
      <c r="AJ64" s="34"/>
      <c r="AK64" s="34"/>
      <c r="AL64" s="34"/>
      <c r="AM64" s="34"/>
      <c r="AN64" s="34" t="s">
        <v>296</v>
      </c>
      <c r="AO64" s="34" t="s">
        <v>296</v>
      </c>
      <c r="AP64" s="34"/>
      <c r="AQ64" s="34"/>
      <c r="AR64" s="34"/>
      <c r="AS64" s="34"/>
      <c r="AT64" s="34"/>
      <c r="AU64" s="34"/>
      <c r="AV64" s="34"/>
      <c r="AW64" s="34"/>
      <c r="AX64" s="34"/>
      <c r="AY64" s="34"/>
      <c r="AZ64" s="34"/>
      <c r="BA64" s="5"/>
    </row>
    <row r="65" spans="1:53" ht="26.5" thickBot="1" x14ac:dyDescent="0.4">
      <c r="A65" s="24" t="s">
        <v>297</v>
      </c>
      <c r="B65" s="24" t="s">
        <v>297</v>
      </c>
      <c r="C65" s="24" t="s">
        <v>297</v>
      </c>
      <c r="D65" s="24" t="s">
        <v>297</v>
      </c>
      <c r="E65" s="24" t="s">
        <v>297</v>
      </c>
      <c r="F65" s="24" t="s">
        <v>296</v>
      </c>
      <c r="G65" s="24" t="s">
        <v>296</v>
      </c>
      <c r="H65" s="24" t="s">
        <v>297</v>
      </c>
      <c r="I65" s="24" t="s">
        <v>297</v>
      </c>
      <c r="J65" s="5" t="s">
        <v>354</v>
      </c>
      <c r="K65" s="5" t="s">
        <v>357</v>
      </c>
      <c r="L65" s="5" t="s">
        <v>343</v>
      </c>
      <c r="M65" s="5" t="s">
        <v>341</v>
      </c>
      <c r="N65" s="5" t="s">
        <v>342</v>
      </c>
      <c r="O65" s="5">
        <v>1.609</v>
      </c>
      <c r="P65" s="91"/>
      <c r="Q65" s="91"/>
      <c r="R65" s="287">
        <v>4.5249999999999999E-2</v>
      </c>
      <c r="S65" s="287">
        <v>4.0000000000000001E-3</v>
      </c>
      <c r="T65" s="287">
        <v>1.0880000000000001E-2</v>
      </c>
      <c r="U65" s="91"/>
      <c r="V65" s="99">
        <f t="shared" si="1"/>
        <v>6.0130000000000003E-2</v>
      </c>
      <c r="W65" s="34"/>
      <c r="X65" s="34"/>
      <c r="Y65" s="34"/>
      <c r="Z65" s="34"/>
      <c r="AA65" s="34"/>
      <c r="AB65" s="34"/>
      <c r="AC65" s="34"/>
      <c r="AD65" s="34"/>
      <c r="AE65" s="34"/>
      <c r="AF65" s="34"/>
      <c r="AG65" s="34"/>
      <c r="AH65" s="34"/>
      <c r="AI65" s="34"/>
      <c r="AJ65" s="34"/>
      <c r="AK65" s="34"/>
      <c r="AL65" s="34"/>
      <c r="AM65" s="34"/>
      <c r="AN65" s="34" t="s">
        <v>296</v>
      </c>
      <c r="AO65" s="34" t="s">
        <v>296</v>
      </c>
      <c r="AP65" s="34"/>
      <c r="AQ65" s="34"/>
      <c r="AR65" s="34"/>
      <c r="AS65" s="34"/>
      <c r="AT65" s="34"/>
      <c r="AU65" s="34"/>
      <c r="AV65" s="34"/>
      <c r="AW65" s="34"/>
      <c r="AX65" s="34"/>
      <c r="AY65" s="34"/>
      <c r="AZ65" s="34"/>
      <c r="BA65" s="5"/>
    </row>
    <row r="66" spans="1:53" ht="26.5" thickBot="1" x14ac:dyDescent="0.4">
      <c r="A66" s="24" t="s">
        <v>297</v>
      </c>
      <c r="B66" s="24" t="s">
        <v>297</v>
      </c>
      <c r="C66" s="24" t="s">
        <v>297</v>
      </c>
      <c r="D66" s="24" t="s">
        <v>297</v>
      </c>
      <c r="E66" s="24" t="s">
        <v>297</v>
      </c>
      <c r="F66" s="24" t="s">
        <v>296</v>
      </c>
      <c r="G66" s="24" t="s">
        <v>296</v>
      </c>
      <c r="H66" s="24" t="s">
        <v>297</v>
      </c>
      <c r="I66" s="24" t="s">
        <v>297</v>
      </c>
      <c r="J66" s="5" t="s">
        <v>354</v>
      </c>
      <c r="K66" s="5" t="s">
        <v>98</v>
      </c>
      <c r="L66" s="5" t="s">
        <v>343</v>
      </c>
      <c r="M66" s="5" t="s">
        <v>341</v>
      </c>
      <c r="N66" s="5" t="s">
        <v>342</v>
      </c>
      <c r="O66" s="5">
        <v>1.609</v>
      </c>
      <c r="P66" s="91"/>
      <c r="Q66" s="91"/>
      <c r="R66" s="287">
        <v>4.3589999999999997E-2</v>
      </c>
      <c r="S66" s="287">
        <v>3.8600000000000001E-3</v>
      </c>
      <c r="T66" s="287">
        <v>1.0489999999999999E-2</v>
      </c>
      <c r="U66" s="91"/>
      <c r="V66" s="99">
        <f t="shared" si="1"/>
        <v>5.7939999999999998E-2</v>
      </c>
      <c r="W66" s="34"/>
      <c r="X66" s="34"/>
      <c r="Y66" s="34"/>
      <c r="Z66" s="34"/>
      <c r="AA66" s="34"/>
      <c r="AB66" s="34"/>
      <c r="AC66" s="34"/>
      <c r="AD66" s="34"/>
      <c r="AE66" s="34"/>
      <c r="AF66" s="34"/>
      <c r="AG66" s="34"/>
      <c r="AH66" s="34"/>
      <c r="AI66" s="34"/>
      <c r="AJ66" s="34"/>
      <c r="AK66" s="34"/>
      <c r="AL66" s="34"/>
      <c r="AM66" s="34"/>
      <c r="AN66" s="34" t="s">
        <v>296</v>
      </c>
      <c r="AO66" s="34" t="s">
        <v>296</v>
      </c>
      <c r="AP66" s="34"/>
      <c r="AQ66" s="34"/>
      <c r="AR66" s="34"/>
      <c r="AS66" s="34"/>
      <c r="AT66" s="34"/>
      <c r="AU66" s="34"/>
      <c r="AV66" s="34"/>
      <c r="AW66" s="34"/>
      <c r="AX66" s="34"/>
      <c r="AY66" s="34"/>
      <c r="AZ66" s="34"/>
      <c r="BA66" s="5"/>
    </row>
    <row r="67" spans="1:53" ht="15" thickBot="1" x14ac:dyDescent="0.4">
      <c r="A67" s="24" t="s">
        <v>297</v>
      </c>
      <c r="B67" s="24" t="s">
        <v>297</v>
      </c>
      <c r="C67" s="24" t="s">
        <v>297</v>
      </c>
      <c r="D67" s="24" t="s">
        <v>297</v>
      </c>
      <c r="E67" s="24" t="s">
        <v>297</v>
      </c>
      <c r="F67" s="24" t="s">
        <v>296</v>
      </c>
      <c r="G67" s="24" t="s">
        <v>296</v>
      </c>
      <c r="H67" s="24" t="s">
        <v>297</v>
      </c>
      <c r="I67" s="24" t="s">
        <v>297</v>
      </c>
      <c r="J67" s="5" t="s">
        <v>354</v>
      </c>
      <c r="K67" s="5" t="s">
        <v>355</v>
      </c>
      <c r="L67" s="5" t="s">
        <v>353</v>
      </c>
      <c r="M67" s="5" t="s">
        <v>341</v>
      </c>
      <c r="N67" s="5" t="s">
        <v>342</v>
      </c>
      <c r="O67" s="5">
        <v>1.609</v>
      </c>
      <c r="P67" s="91"/>
      <c r="Q67" s="91"/>
      <c r="R67" s="287">
        <v>0.14262</v>
      </c>
      <c r="S67" s="91"/>
      <c r="T67" s="287">
        <v>3.8359999999999998E-2</v>
      </c>
      <c r="U67" s="91"/>
      <c r="V67" s="99">
        <f t="shared" ref="V67:V98" si="2">SUM(P67:U67)</f>
        <v>0.18098</v>
      </c>
      <c r="W67" s="34"/>
      <c r="X67" s="34"/>
      <c r="Y67" s="34"/>
      <c r="Z67" s="34"/>
      <c r="AA67" s="34"/>
      <c r="AB67" s="34"/>
      <c r="AC67" s="34"/>
      <c r="AD67" s="34"/>
      <c r="AE67" s="34"/>
      <c r="AF67" s="34"/>
      <c r="AG67" s="34"/>
      <c r="AH67" s="34"/>
      <c r="AI67" s="34"/>
      <c r="AJ67" s="34"/>
      <c r="AK67" s="34"/>
      <c r="AL67" s="34"/>
      <c r="AM67" s="34"/>
      <c r="AN67" s="34" t="s">
        <v>296</v>
      </c>
      <c r="AO67" s="34" t="s">
        <v>296</v>
      </c>
      <c r="AP67" s="34"/>
      <c r="AQ67" s="34"/>
      <c r="AR67" s="34"/>
      <c r="AS67" s="34"/>
      <c r="AT67" s="34"/>
      <c r="AU67" s="34"/>
      <c r="AV67" s="34"/>
      <c r="AW67" s="34"/>
      <c r="AX67" s="34"/>
      <c r="AY67" s="34"/>
      <c r="AZ67" s="34"/>
      <c r="BA67" s="5"/>
    </row>
    <row r="68" spans="1:53" ht="15" thickBot="1" x14ac:dyDescent="0.4">
      <c r="A68" s="24" t="s">
        <v>297</v>
      </c>
      <c r="B68" s="24" t="s">
        <v>297</v>
      </c>
      <c r="C68" s="24" t="s">
        <v>297</v>
      </c>
      <c r="D68" s="24" t="s">
        <v>297</v>
      </c>
      <c r="E68" s="24" t="s">
        <v>297</v>
      </c>
      <c r="F68" s="24" t="s">
        <v>296</v>
      </c>
      <c r="G68" s="24" t="s">
        <v>296</v>
      </c>
      <c r="H68" s="24" t="s">
        <v>297</v>
      </c>
      <c r="I68" s="24" t="s">
        <v>297</v>
      </c>
      <c r="J68" s="5" t="s">
        <v>354</v>
      </c>
      <c r="K68" s="5" t="s">
        <v>356</v>
      </c>
      <c r="L68" s="5" t="s">
        <v>353</v>
      </c>
      <c r="M68" s="5" t="s">
        <v>341</v>
      </c>
      <c r="N68" s="5" t="s">
        <v>342</v>
      </c>
      <c r="O68" s="5">
        <v>1.609</v>
      </c>
      <c r="P68" s="91"/>
      <c r="Q68" s="91"/>
      <c r="R68" s="287">
        <v>0.17255999999999999</v>
      </c>
      <c r="S68" s="91"/>
      <c r="T68" s="287">
        <v>4.5179999999999998E-2</v>
      </c>
      <c r="U68" s="91"/>
      <c r="V68" s="99">
        <f t="shared" si="2"/>
        <v>0.21773999999999999</v>
      </c>
      <c r="W68" s="34"/>
      <c r="X68" s="34"/>
      <c r="Y68" s="34"/>
      <c r="Z68" s="34"/>
      <c r="AA68" s="34"/>
      <c r="AB68" s="34"/>
      <c r="AC68" s="34"/>
      <c r="AD68" s="34"/>
      <c r="AE68" s="34"/>
      <c r="AF68" s="34"/>
      <c r="AG68" s="34"/>
      <c r="AH68" s="34"/>
      <c r="AI68" s="34"/>
      <c r="AJ68" s="34"/>
      <c r="AK68" s="34"/>
      <c r="AL68" s="34"/>
      <c r="AM68" s="34"/>
      <c r="AN68" s="34" t="s">
        <v>296</v>
      </c>
      <c r="AO68" s="34" t="s">
        <v>296</v>
      </c>
      <c r="AP68" s="34"/>
      <c r="AQ68" s="34"/>
      <c r="AR68" s="34"/>
      <c r="AS68" s="34"/>
      <c r="AT68" s="34"/>
      <c r="AU68" s="34"/>
      <c r="AV68" s="34"/>
      <c r="AW68" s="34"/>
      <c r="AX68" s="34"/>
      <c r="AY68" s="34"/>
      <c r="AZ68" s="34"/>
      <c r="BA68" s="5"/>
    </row>
    <row r="69" spans="1:53" ht="15" thickBot="1" x14ac:dyDescent="0.4">
      <c r="A69" s="24" t="s">
        <v>297</v>
      </c>
      <c r="B69" s="24" t="s">
        <v>297</v>
      </c>
      <c r="C69" s="24" t="s">
        <v>297</v>
      </c>
      <c r="D69" s="24" t="s">
        <v>297</v>
      </c>
      <c r="E69" s="24" t="s">
        <v>297</v>
      </c>
      <c r="F69" s="24" t="s">
        <v>296</v>
      </c>
      <c r="G69" s="24" t="s">
        <v>296</v>
      </c>
      <c r="H69" s="24" t="s">
        <v>297</v>
      </c>
      <c r="I69" s="24" t="s">
        <v>297</v>
      </c>
      <c r="J69" s="5" t="s">
        <v>354</v>
      </c>
      <c r="K69" s="5" t="s">
        <v>357</v>
      </c>
      <c r="L69" s="5" t="s">
        <v>353</v>
      </c>
      <c r="M69" s="5" t="s">
        <v>341</v>
      </c>
      <c r="N69" s="5" t="s">
        <v>342</v>
      </c>
      <c r="O69" s="5">
        <v>1.609</v>
      </c>
      <c r="P69" s="91"/>
      <c r="Q69" s="91"/>
      <c r="R69" s="287">
        <v>0.22472</v>
      </c>
      <c r="S69" s="91"/>
      <c r="T69" s="287">
        <v>5.7639999999999997E-2</v>
      </c>
      <c r="U69" s="91"/>
      <c r="V69" s="99">
        <f t="shared" si="2"/>
        <v>0.28236</v>
      </c>
      <c r="W69" s="34"/>
      <c r="X69" s="34"/>
      <c r="Y69" s="34"/>
      <c r="Z69" s="34"/>
      <c r="AA69" s="34"/>
      <c r="AB69" s="34"/>
      <c r="AC69" s="34"/>
      <c r="AD69" s="34"/>
      <c r="AE69" s="34"/>
      <c r="AF69" s="34"/>
      <c r="AG69" s="34"/>
      <c r="AH69" s="34"/>
      <c r="AI69" s="34"/>
      <c r="AJ69" s="34"/>
      <c r="AK69" s="34"/>
      <c r="AL69" s="34"/>
      <c r="AM69" s="34"/>
      <c r="AN69" s="34" t="s">
        <v>296</v>
      </c>
      <c r="AO69" s="34" t="s">
        <v>296</v>
      </c>
      <c r="AP69" s="34"/>
      <c r="AQ69" s="34"/>
      <c r="AR69" s="34"/>
      <c r="AS69" s="34"/>
      <c r="AT69" s="34"/>
      <c r="AU69" s="34"/>
      <c r="AV69" s="34"/>
      <c r="AW69" s="34"/>
      <c r="AX69" s="34"/>
      <c r="AY69" s="34"/>
      <c r="AZ69" s="34"/>
      <c r="BA69" s="5"/>
    </row>
    <row r="70" spans="1:53" ht="15" thickBot="1" x14ac:dyDescent="0.4">
      <c r="A70" s="24" t="s">
        <v>297</v>
      </c>
      <c r="B70" s="24" t="s">
        <v>297</v>
      </c>
      <c r="C70" s="24" t="s">
        <v>297</v>
      </c>
      <c r="D70" s="24" t="s">
        <v>297</v>
      </c>
      <c r="E70" s="24" t="s">
        <v>297</v>
      </c>
      <c r="F70" s="24" t="s">
        <v>296</v>
      </c>
      <c r="G70" s="24" t="s">
        <v>296</v>
      </c>
      <c r="H70" s="24" t="s">
        <v>297</v>
      </c>
      <c r="I70" s="24" t="s">
        <v>297</v>
      </c>
      <c r="J70" s="5" t="s">
        <v>354</v>
      </c>
      <c r="K70" s="5" t="s">
        <v>98</v>
      </c>
      <c r="L70" s="5" t="s">
        <v>353</v>
      </c>
      <c r="M70" s="5" t="s">
        <v>341</v>
      </c>
      <c r="N70" s="5" t="s">
        <v>342</v>
      </c>
      <c r="O70" s="5">
        <v>1.609</v>
      </c>
      <c r="P70" s="91"/>
      <c r="Q70" s="91"/>
      <c r="R70" s="287">
        <v>0.16691</v>
      </c>
      <c r="S70" s="91"/>
      <c r="T70" s="287">
        <v>4.3990000000000001E-2</v>
      </c>
      <c r="U70" s="91"/>
      <c r="V70" s="99">
        <f t="shared" si="2"/>
        <v>0.2109</v>
      </c>
      <c r="W70" s="34"/>
      <c r="X70" s="34"/>
      <c r="Y70" s="34"/>
      <c r="Z70" s="34"/>
      <c r="AA70" s="34"/>
      <c r="AB70" s="34"/>
      <c r="AC70" s="34"/>
      <c r="AD70" s="34"/>
      <c r="AE70" s="34"/>
      <c r="AF70" s="34"/>
      <c r="AG70" s="34"/>
      <c r="AH70" s="34"/>
      <c r="AI70" s="34"/>
      <c r="AJ70" s="34"/>
      <c r="AK70" s="34"/>
      <c r="AL70" s="34"/>
      <c r="AM70" s="34"/>
      <c r="AN70" s="34" t="s">
        <v>296</v>
      </c>
      <c r="AO70" s="34" t="s">
        <v>296</v>
      </c>
      <c r="AP70" s="34"/>
      <c r="AQ70" s="34"/>
      <c r="AR70" s="34"/>
      <c r="AS70" s="34"/>
      <c r="AT70" s="34"/>
      <c r="AU70" s="34"/>
      <c r="AV70" s="34"/>
      <c r="AW70" s="34"/>
      <c r="AX70" s="34"/>
      <c r="AY70" s="34"/>
      <c r="AZ70" s="34"/>
      <c r="BA70" s="5"/>
    </row>
    <row r="71" spans="1:53" ht="15" thickBot="1" x14ac:dyDescent="0.4">
      <c r="A71" s="24" t="s">
        <v>297</v>
      </c>
      <c r="B71" s="24" t="s">
        <v>297</v>
      </c>
      <c r="C71" s="24" t="s">
        <v>297</v>
      </c>
      <c r="D71" s="24" t="s">
        <v>297</v>
      </c>
      <c r="E71" s="24" t="s">
        <v>297</v>
      </c>
      <c r="F71" s="24" t="s">
        <v>296</v>
      </c>
      <c r="G71" s="24" t="s">
        <v>296</v>
      </c>
      <c r="H71" s="24" t="s">
        <v>297</v>
      </c>
      <c r="I71" s="24" t="s">
        <v>297</v>
      </c>
      <c r="J71" s="5" t="s">
        <v>358</v>
      </c>
      <c r="K71" s="5" t="s">
        <v>355</v>
      </c>
      <c r="L71" s="5" t="s">
        <v>317</v>
      </c>
      <c r="M71" s="5" t="s">
        <v>341</v>
      </c>
      <c r="N71" s="5" t="s">
        <v>342</v>
      </c>
      <c r="O71" s="5">
        <v>1.609</v>
      </c>
      <c r="P71" s="91"/>
      <c r="Q71" s="91"/>
      <c r="R71" s="287">
        <v>0.13994000000000001</v>
      </c>
      <c r="S71" s="91"/>
      <c r="T71" s="287">
        <v>3.4090000000000002E-2</v>
      </c>
      <c r="U71" s="91"/>
      <c r="V71" s="99">
        <f t="shared" si="2"/>
        <v>0.17403000000000002</v>
      </c>
      <c r="W71" s="34"/>
      <c r="X71" s="34"/>
      <c r="Y71" s="34"/>
      <c r="Z71" s="34"/>
      <c r="AA71" s="34"/>
      <c r="AB71" s="34"/>
      <c r="AC71" s="34"/>
      <c r="AD71" s="34"/>
      <c r="AE71" s="34"/>
      <c r="AF71" s="34"/>
      <c r="AG71" s="34"/>
      <c r="AH71" s="34"/>
      <c r="AI71" s="34"/>
      <c r="AJ71" s="34"/>
      <c r="AK71" s="34"/>
      <c r="AL71" s="34"/>
      <c r="AM71" s="34"/>
      <c r="AN71" s="34" t="s">
        <v>296</v>
      </c>
      <c r="AO71" s="34" t="s">
        <v>296</v>
      </c>
      <c r="AP71" s="34"/>
      <c r="AQ71" s="34"/>
      <c r="AR71" s="34"/>
      <c r="AS71" s="34"/>
      <c r="AT71" s="34"/>
      <c r="AU71" s="34"/>
      <c r="AV71" s="34"/>
      <c r="AW71" s="34"/>
      <c r="AX71" s="34"/>
      <c r="AY71" s="34"/>
      <c r="AZ71" s="34"/>
      <c r="BA71" s="5"/>
    </row>
    <row r="72" spans="1:53" ht="15" thickBot="1" x14ac:dyDescent="0.4">
      <c r="A72" s="24" t="s">
        <v>297</v>
      </c>
      <c r="B72" s="24" t="s">
        <v>297</v>
      </c>
      <c r="C72" s="24" t="s">
        <v>297</v>
      </c>
      <c r="D72" s="24" t="s">
        <v>297</v>
      </c>
      <c r="E72" s="24" t="s">
        <v>297</v>
      </c>
      <c r="F72" s="24" t="s">
        <v>296</v>
      </c>
      <c r="G72" s="24" t="s">
        <v>296</v>
      </c>
      <c r="H72" s="24" t="s">
        <v>297</v>
      </c>
      <c r="I72" s="24" t="s">
        <v>297</v>
      </c>
      <c r="J72" s="5" t="s">
        <v>358</v>
      </c>
      <c r="K72" s="5" t="s">
        <v>356</v>
      </c>
      <c r="L72" s="5" t="s">
        <v>317</v>
      </c>
      <c r="M72" s="5" t="s">
        <v>341</v>
      </c>
      <c r="N72" s="5" t="s">
        <v>342</v>
      </c>
      <c r="O72" s="5">
        <v>1.609</v>
      </c>
      <c r="P72" s="91"/>
      <c r="Q72" s="91"/>
      <c r="R72" s="287">
        <v>0.16807</v>
      </c>
      <c r="S72" s="91"/>
      <c r="T72" s="287">
        <v>4.1029999999999997E-2</v>
      </c>
      <c r="U72" s="91"/>
      <c r="V72" s="99">
        <f t="shared" si="2"/>
        <v>0.20910000000000001</v>
      </c>
      <c r="W72" s="34"/>
      <c r="X72" s="34"/>
      <c r="Y72" s="34"/>
      <c r="Z72" s="34"/>
      <c r="AA72" s="34"/>
      <c r="AB72" s="34"/>
      <c r="AC72" s="34"/>
      <c r="AD72" s="34"/>
      <c r="AE72" s="34"/>
      <c r="AF72" s="34"/>
      <c r="AG72" s="34"/>
      <c r="AH72" s="34"/>
      <c r="AI72" s="34"/>
      <c r="AJ72" s="34"/>
      <c r="AK72" s="34"/>
      <c r="AL72" s="34"/>
      <c r="AM72" s="34"/>
      <c r="AN72" s="34" t="s">
        <v>296</v>
      </c>
      <c r="AO72" s="34" t="s">
        <v>296</v>
      </c>
      <c r="AP72" s="34"/>
      <c r="AQ72" s="34"/>
      <c r="AR72" s="34"/>
      <c r="AS72" s="34"/>
      <c r="AT72" s="34"/>
      <c r="AU72" s="34"/>
      <c r="AV72" s="34"/>
      <c r="AW72" s="34"/>
      <c r="AX72" s="34"/>
      <c r="AY72" s="34"/>
      <c r="AZ72" s="34"/>
      <c r="BA72" s="5"/>
    </row>
    <row r="73" spans="1:53" ht="15" thickBot="1" x14ac:dyDescent="0.4">
      <c r="A73" s="24" t="s">
        <v>297</v>
      </c>
      <c r="B73" s="24" t="s">
        <v>297</v>
      </c>
      <c r="C73" s="24" t="s">
        <v>297</v>
      </c>
      <c r="D73" s="24" t="s">
        <v>297</v>
      </c>
      <c r="E73" s="24" t="s">
        <v>297</v>
      </c>
      <c r="F73" s="24" t="s">
        <v>296</v>
      </c>
      <c r="G73" s="24" t="s">
        <v>296</v>
      </c>
      <c r="H73" s="24" t="s">
        <v>297</v>
      </c>
      <c r="I73" s="24" t="s">
        <v>297</v>
      </c>
      <c r="J73" s="5" t="s">
        <v>358</v>
      </c>
      <c r="K73" s="5" t="s">
        <v>357</v>
      </c>
      <c r="L73" s="5" t="s">
        <v>317</v>
      </c>
      <c r="M73" s="5" t="s">
        <v>341</v>
      </c>
      <c r="N73" s="5" t="s">
        <v>342</v>
      </c>
      <c r="O73" s="5">
        <v>1.609</v>
      </c>
      <c r="P73" s="91"/>
      <c r="Q73" s="91"/>
      <c r="R73" s="287">
        <v>0.20729</v>
      </c>
      <c r="S73" s="91"/>
      <c r="T73" s="287">
        <v>5.0700000000000002E-2</v>
      </c>
      <c r="U73" s="91"/>
      <c r="V73" s="99">
        <f t="shared" si="2"/>
        <v>0.25799</v>
      </c>
      <c r="W73" s="34"/>
      <c r="X73" s="34"/>
      <c r="Y73" s="34"/>
      <c r="Z73" s="34"/>
      <c r="AA73" s="34"/>
      <c r="AB73" s="34"/>
      <c r="AC73" s="34"/>
      <c r="AD73" s="34"/>
      <c r="AE73" s="34"/>
      <c r="AF73" s="34"/>
      <c r="AG73" s="34"/>
      <c r="AH73" s="34"/>
      <c r="AI73" s="34"/>
      <c r="AJ73" s="34"/>
      <c r="AK73" s="34"/>
      <c r="AL73" s="34"/>
      <c r="AM73" s="34"/>
      <c r="AN73" s="34" t="s">
        <v>296</v>
      </c>
      <c r="AO73" s="34" t="s">
        <v>296</v>
      </c>
      <c r="AP73" s="34"/>
      <c r="AQ73" s="34"/>
      <c r="AR73" s="34"/>
      <c r="AS73" s="34"/>
      <c r="AT73" s="34"/>
      <c r="AU73" s="34"/>
      <c r="AV73" s="34"/>
      <c r="AW73" s="34"/>
      <c r="AX73" s="34"/>
      <c r="AY73" s="34"/>
      <c r="AZ73" s="34"/>
      <c r="BA73" s="5"/>
    </row>
    <row r="74" spans="1:53" ht="15" thickBot="1" x14ac:dyDescent="0.4">
      <c r="A74" s="24" t="s">
        <v>297</v>
      </c>
      <c r="B74" s="24" t="s">
        <v>297</v>
      </c>
      <c r="C74" s="24" t="s">
        <v>297</v>
      </c>
      <c r="D74" s="24" t="s">
        <v>297</v>
      </c>
      <c r="E74" s="24" t="s">
        <v>297</v>
      </c>
      <c r="F74" s="24" t="s">
        <v>296</v>
      </c>
      <c r="G74" s="24" t="s">
        <v>296</v>
      </c>
      <c r="H74" s="24" t="s">
        <v>297</v>
      </c>
      <c r="I74" s="24" t="s">
        <v>297</v>
      </c>
      <c r="J74" s="5" t="s">
        <v>358</v>
      </c>
      <c r="K74" s="5" t="s">
        <v>98</v>
      </c>
      <c r="L74" s="5" t="s">
        <v>317</v>
      </c>
      <c r="M74" s="5" t="s">
        <v>341</v>
      </c>
      <c r="N74" s="5" t="s">
        <v>342</v>
      </c>
      <c r="O74" s="5">
        <v>1.609</v>
      </c>
      <c r="P74" s="91"/>
      <c r="Q74" s="91"/>
      <c r="R74" s="287">
        <v>0.16983999999999999</v>
      </c>
      <c r="S74" s="91"/>
      <c r="T74" s="287">
        <v>4.1459999999999997E-2</v>
      </c>
      <c r="U74" s="91"/>
      <c r="V74" s="99">
        <f t="shared" si="2"/>
        <v>0.21129999999999999</v>
      </c>
      <c r="W74" s="34"/>
      <c r="X74" s="34"/>
      <c r="Y74" s="34"/>
      <c r="Z74" s="34"/>
      <c r="AA74" s="34"/>
      <c r="AB74" s="34"/>
      <c r="AC74" s="34"/>
      <c r="AD74" s="34"/>
      <c r="AE74" s="34"/>
      <c r="AF74" s="34"/>
      <c r="AG74" s="34"/>
      <c r="AH74" s="34"/>
      <c r="AI74" s="34"/>
      <c r="AJ74" s="34"/>
      <c r="AK74" s="34"/>
      <c r="AL74" s="34"/>
      <c r="AM74" s="34"/>
      <c r="AN74" s="34" t="s">
        <v>296</v>
      </c>
      <c r="AO74" s="34" t="s">
        <v>296</v>
      </c>
      <c r="AP74" s="34"/>
      <c r="AQ74" s="34"/>
      <c r="AR74" s="34"/>
      <c r="AS74" s="34"/>
      <c r="AT74" s="34"/>
      <c r="AU74" s="34"/>
      <c r="AV74" s="34"/>
      <c r="AW74" s="34"/>
      <c r="AX74" s="34"/>
      <c r="AY74" s="34"/>
      <c r="AZ74" s="34"/>
      <c r="BA74" s="5"/>
    </row>
    <row r="75" spans="1:53" ht="15" thickBot="1" x14ac:dyDescent="0.4">
      <c r="A75" s="24" t="s">
        <v>297</v>
      </c>
      <c r="B75" s="24" t="s">
        <v>297</v>
      </c>
      <c r="C75" s="24" t="s">
        <v>297</v>
      </c>
      <c r="D75" s="24" t="s">
        <v>297</v>
      </c>
      <c r="E75" s="24" t="s">
        <v>297</v>
      </c>
      <c r="F75" s="24" t="s">
        <v>296</v>
      </c>
      <c r="G75" s="24" t="s">
        <v>296</v>
      </c>
      <c r="H75" s="24" t="s">
        <v>297</v>
      </c>
      <c r="I75" s="24" t="s">
        <v>297</v>
      </c>
      <c r="J75" s="5" t="s">
        <v>358</v>
      </c>
      <c r="K75" s="5" t="s">
        <v>355</v>
      </c>
      <c r="L75" s="5" t="s">
        <v>99</v>
      </c>
      <c r="M75" s="5" t="s">
        <v>341</v>
      </c>
      <c r="N75" s="5" t="s">
        <v>342</v>
      </c>
      <c r="O75" s="5">
        <v>1.609</v>
      </c>
      <c r="P75" s="91"/>
      <c r="Q75" s="91"/>
      <c r="R75" s="287">
        <v>0.14369999999999999</v>
      </c>
      <c r="S75" s="91"/>
      <c r="T75" s="287">
        <v>4.0149999999999998E-2</v>
      </c>
      <c r="U75" s="91"/>
      <c r="V75" s="99">
        <f t="shared" si="2"/>
        <v>0.18384999999999999</v>
      </c>
      <c r="W75" s="34"/>
      <c r="X75" s="34"/>
      <c r="Y75" s="34"/>
      <c r="Z75" s="34"/>
      <c r="AA75" s="34"/>
      <c r="AB75" s="34"/>
      <c r="AC75" s="34"/>
      <c r="AD75" s="34"/>
      <c r="AE75" s="34"/>
      <c r="AF75" s="34"/>
      <c r="AG75" s="34"/>
      <c r="AH75" s="34"/>
      <c r="AI75" s="34"/>
      <c r="AJ75" s="34"/>
      <c r="AK75" s="34"/>
      <c r="AL75" s="34"/>
      <c r="AM75" s="34"/>
      <c r="AN75" s="34" t="s">
        <v>296</v>
      </c>
      <c r="AO75" s="34" t="s">
        <v>296</v>
      </c>
      <c r="AP75" s="34"/>
      <c r="AQ75" s="34"/>
      <c r="AR75" s="34"/>
      <c r="AS75" s="34"/>
      <c r="AT75" s="34"/>
      <c r="AU75" s="34"/>
      <c r="AV75" s="34"/>
      <c r="AW75" s="34"/>
      <c r="AX75" s="34"/>
      <c r="AY75" s="34"/>
      <c r="AZ75" s="34"/>
      <c r="BA75" s="5"/>
    </row>
    <row r="76" spans="1:53" ht="15" thickBot="1" x14ac:dyDescent="0.4">
      <c r="A76" s="24" t="s">
        <v>297</v>
      </c>
      <c r="B76" s="24" t="s">
        <v>297</v>
      </c>
      <c r="C76" s="24" t="s">
        <v>297</v>
      </c>
      <c r="D76" s="24" t="s">
        <v>297</v>
      </c>
      <c r="E76" s="24" t="s">
        <v>297</v>
      </c>
      <c r="F76" s="24" t="s">
        <v>296</v>
      </c>
      <c r="G76" s="24" t="s">
        <v>296</v>
      </c>
      <c r="H76" s="24" t="s">
        <v>297</v>
      </c>
      <c r="I76" s="24" t="s">
        <v>297</v>
      </c>
      <c r="J76" s="5" t="s">
        <v>358</v>
      </c>
      <c r="K76" s="5" t="s">
        <v>356</v>
      </c>
      <c r="L76" s="5" t="s">
        <v>99</v>
      </c>
      <c r="M76" s="5" t="s">
        <v>341</v>
      </c>
      <c r="N76" s="5" t="s">
        <v>342</v>
      </c>
      <c r="O76" s="5">
        <v>1.609</v>
      </c>
      <c r="P76" s="91"/>
      <c r="Q76" s="91"/>
      <c r="R76" s="287">
        <v>0.17726</v>
      </c>
      <c r="S76" s="91"/>
      <c r="T76" s="287">
        <v>4.9570000000000003E-2</v>
      </c>
      <c r="U76" s="91"/>
      <c r="V76" s="99">
        <f t="shared" si="2"/>
        <v>0.22683</v>
      </c>
      <c r="W76" s="34"/>
      <c r="X76" s="34"/>
      <c r="Y76" s="34"/>
      <c r="Z76" s="34"/>
      <c r="AA76" s="34"/>
      <c r="AB76" s="34"/>
      <c r="AC76" s="34"/>
      <c r="AD76" s="34"/>
      <c r="AE76" s="34"/>
      <c r="AF76" s="34"/>
      <c r="AG76" s="34"/>
      <c r="AH76" s="34"/>
      <c r="AI76" s="34"/>
      <c r="AJ76" s="34"/>
      <c r="AK76" s="34"/>
      <c r="AL76" s="34"/>
      <c r="AM76" s="34"/>
      <c r="AN76" s="34" t="s">
        <v>296</v>
      </c>
      <c r="AO76" s="34" t="s">
        <v>296</v>
      </c>
      <c r="AP76" s="34"/>
      <c r="AQ76" s="34"/>
      <c r="AR76" s="34"/>
      <c r="AS76" s="34"/>
      <c r="AT76" s="34"/>
      <c r="AU76" s="34"/>
      <c r="AV76" s="34"/>
      <c r="AW76" s="34"/>
      <c r="AX76" s="34"/>
      <c r="AY76" s="34"/>
      <c r="AZ76" s="34"/>
      <c r="BA76" s="5"/>
    </row>
    <row r="77" spans="1:53" ht="15" thickBot="1" x14ac:dyDescent="0.4">
      <c r="A77" s="24" t="s">
        <v>297</v>
      </c>
      <c r="B77" s="24" t="s">
        <v>297</v>
      </c>
      <c r="C77" s="24" t="s">
        <v>297</v>
      </c>
      <c r="D77" s="24" t="s">
        <v>297</v>
      </c>
      <c r="E77" s="24" t="s">
        <v>297</v>
      </c>
      <c r="F77" s="24" t="s">
        <v>296</v>
      </c>
      <c r="G77" s="24" t="s">
        <v>296</v>
      </c>
      <c r="H77" s="24" t="s">
        <v>297</v>
      </c>
      <c r="I77" s="24" t="s">
        <v>297</v>
      </c>
      <c r="J77" s="5" t="s">
        <v>358</v>
      </c>
      <c r="K77" s="5" t="s">
        <v>357</v>
      </c>
      <c r="L77" s="5" t="s">
        <v>99</v>
      </c>
      <c r="M77" s="5" t="s">
        <v>341</v>
      </c>
      <c r="N77" s="5" t="s">
        <v>342</v>
      </c>
      <c r="O77" s="5">
        <v>1.609</v>
      </c>
      <c r="P77" s="91"/>
      <c r="Q77" s="91"/>
      <c r="R77" s="287">
        <v>0.26884999999999998</v>
      </c>
      <c r="S77" s="91"/>
      <c r="T77" s="287">
        <v>7.528E-2</v>
      </c>
      <c r="U77" s="91"/>
      <c r="V77" s="99">
        <f t="shared" si="2"/>
        <v>0.34412999999999999</v>
      </c>
      <c r="W77" s="34"/>
      <c r="X77" s="34"/>
      <c r="Y77" s="34"/>
      <c r="Z77" s="34"/>
      <c r="AA77" s="34"/>
      <c r="AB77" s="34"/>
      <c r="AC77" s="34"/>
      <c r="AD77" s="34"/>
      <c r="AE77" s="34"/>
      <c r="AF77" s="34"/>
      <c r="AG77" s="34"/>
      <c r="AH77" s="34"/>
      <c r="AI77" s="34"/>
      <c r="AJ77" s="34"/>
      <c r="AK77" s="34"/>
      <c r="AL77" s="34"/>
      <c r="AM77" s="34"/>
      <c r="AN77" s="34" t="s">
        <v>296</v>
      </c>
      <c r="AO77" s="34" t="s">
        <v>296</v>
      </c>
      <c r="AP77" s="34"/>
      <c r="AQ77" s="34"/>
      <c r="AR77" s="34"/>
      <c r="AS77" s="34"/>
      <c r="AT77" s="34"/>
      <c r="AU77" s="34"/>
      <c r="AV77" s="34"/>
      <c r="AW77" s="34"/>
      <c r="AX77" s="34"/>
      <c r="AY77" s="34"/>
      <c r="AZ77" s="34"/>
      <c r="BA77" s="5"/>
    </row>
    <row r="78" spans="1:53" ht="15" thickBot="1" x14ac:dyDescent="0.4">
      <c r="A78" s="24" t="s">
        <v>297</v>
      </c>
      <c r="B78" s="24" t="s">
        <v>297</v>
      </c>
      <c r="C78" s="24" t="s">
        <v>297</v>
      </c>
      <c r="D78" s="24" t="s">
        <v>297</v>
      </c>
      <c r="E78" s="24" t="s">
        <v>297</v>
      </c>
      <c r="F78" s="24" t="s">
        <v>296</v>
      </c>
      <c r="G78" s="24" t="s">
        <v>296</v>
      </c>
      <c r="H78" s="24" t="s">
        <v>297</v>
      </c>
      <c r="I78" s="24" t="s">
        <v>297</v>
      </c>
      <c r="J78" s="5" t="s">
        <v>358</v>
      </c>
      <c r="K78" s="5" t="s">
        <v>98</v>
      </c>
      <c r="L78" s="5" t="s">
        <v>99</v>
      </c>
      <c r="M78" s="5" t="s">
        <v>341</v>
      </c>
      <c r="N78" s="5" t="s">
        <v>342</v>
      </c>
      <c r="O78" s="5">
        <v>1.609</v>
      </c>
      <c r="P78" s="91"/>
      <c r="Q78" s="91"/>
      <c r="R78" s="287">
        <v>0.16450000000000001</v>
      </c>
      <c r="S78" s="91"/>
      <c r="T78" s="287">
        <v>4.5990000000000003E-2</v>
      </c>
      <c r="U78" s="91"/>
      <c r="V78" s="99">
        <f t="shared" si="2"/>
        <v>0.21049000000000001</v>
      </c>
      <c r="W78" s="34"/>
      <c r="X78" s="34"/>
      <c r="Y78" s="34"/>
      <c r="Z78" s="34"/>
      <c r="AA78" s="34"/>
      <c r="AB78" s="34"/>
      <c r="AC78" s="34"/>
      <c r="AD78" s="34"/>
      <c r="AE78" s="34"/>
      <c r="AF78" s="34"/>
      <c r="AG78" s="34"/>
      <c r="AH78" s="34"/>
      <c r="AI78" s="34"/>
      <c r="AJ78" s="34"/>
      <c r="AK78" s="34"/>
      <c r="AL78" s="34"/>
      <c r="AM78" s="34"/>
      <c r="AN78" s="34" t="s">
        <v>296</v>
      </c>
      <c r="AO78" s="34" t="s">
        <v>296</v>
      </c>
      <c r="AP78" s="34"/>
      <c r="AQ78" s="34"/>
      <c r="AR78" s="34"/>
      <c r="AS78" s="34"/>
      <c r="AT78" s="34"/>
      <c r="AU78" s="34"/>
      <c r="AV78" s="34"/>
      <c r="AW78" s="34"/>
      <c r="AX78" s="34"/>
      <c r="AY78" s="34"/>
      <c r="AZ78" s="34"/>
      <c r="BA78" s="5"/>
    </row>
    <row r="79" spans="1:53" ht="15" thickBot="1" x14ac:dyDescent="0.4">
      <c r="A79" s="24" t="s">
        <v>297</v>
      </c>
      <c r="B79" s="24" t="s">
        <v>297</v>
      </c>
      <c r="C79" s="24" t="s">
        <v>297</v>
      </c>
      <c r="D79" s="24" t="s">
        <v>297</v>
      </c>
      <c r="E79" s="24" t="s">
        <v>297</v>
      </c>
      <c r="F79" s="24" t="s">
        <v>296</v>
      </c>
      <c r="G79" s="24" t="s">
        <v>296</v>
      </c>
      <c r="H79" s="24" t="s">
        <v>297</v>
      </c>
      <c r="I79" s="24" t="s">
        <v>297</v>
      </c>
      <c r="J79" s="5" t="s">
        <v>358</v>
      </c>
      <c r="K79" s="5" t="s">
        <v>355</v>
      </c>
      <c r="L79" s="5" t="s">
        <v>351</v>
      </c>
      <c r="M79" s="5" t="s">
        <v>341</v>
      </c>
      <c r="N79" s="5" t="s">
        <v>342</v>
      </c>
      <c r="O79" s="5">
        <v>1.609</v>
      </c>
      <c r="P79" s="91"/>
      <c r="Q79" s="91"/>
      <c r="R79" s="287">
        <v>0.11274000000000001</v>
      </c>
      <c r="S79" s="91"/>
      <c r="T79" s="287">
        <v>3.0259999999999999E-2</v>
      </c>
      <c r="U79" s="91"/>
      <c r="V79" s="99">
        <f t="shared" si="2"/>
        <v>0.14300000000000002</v>
      </c>
      <c r="W79" s="34"/>
      <c r="X79" s="34"/>
      <c r="Y79" s="34"/>
      <c r="Z79" s="34"/>
      <c r="AA79" s="34"/>
      <c r="AB79" s="34"/>
      <c r="AC79" s="34"/>
      <c r="AD79" s="34"/>
      <c r="AE79" s="34"/>
      <c r="AF79" s="34"/>
      <c r="AG79" s="34"/>
      <c r="AH79" s="34"/>
      <c r="AI79" s="34"/>
      <c r="AJ79" s="34"/>
      <c r="AK79" s="34"/>
      <c r="AL79" s="34"/>
      <c r="AM79" s="34"/>
      <c r="AN79" s="34" t="s">
        <v>296</v>
      </c>
      <c r="AO79" s="34" t="s">
        <v>296</v>
      </c>
      <c r="AP79" s="34"/>
      <c r="AQ79" s="34"/>
      <c r="AR79" s="34"/>
      <c r="AS79" s="34"/>
      <c r="AT79" s="34"/>
      <c r="AU79" s="34"/>
      <c r="AV79" s="34"/>
      <c r="AW79" s="34"/>
      <c r="AX79" s="34"/>
      <c r="AY79" s="34"/>
      <c r="AZ79" s="34"/>
      <c r="BA79" s="5"/>
    </row>
    <row r="80" spans="1:53" ht="15" thickBot="1" x14ac:dyDescent="0.4">
      <c r="A80" s="24" t="s">
        <v>297</v>
      </c>
      <c r="B80" s="24" t="s">
        <v>297</v>
      </c>
      <c r="C80" s="24" t="s">
        <v>297</v>
      </c>
      <c r="D80" s="24" t="s">
        <v>297</v>
      </c>
      <c r="E80" s="24" t="s">
        <v>297</v>
      </c>
      <c r="F80" s="24" t="s">
        <v>296</v>
      </c>
      <c r="G80" s="24" t="s">
        <v>296</v>
      </c>
      <c r="H80" s="24" t="s">
        <v>297</v>
      </c>
      <c r="I80" s="24" t="s">
        <v>297</v>
      </c>
      <c r="J80" s="5" t="s">
        <v>358</v>
      </c>
      <c r="K80" s="5" t="s">
        <v>356</v>
      </c>
      <c r="L80" s="5" t="s">
        <v>351</v>
      </c>
      <c r="M80" s="5" t="s">
        <v>341</v>
      </c>
      <c r="N80" s="5" t="s">
        <v>342</v>
      </c>
      <c r="O80" s="5">
        <v>1.609</v>
      </c>
      <c r="P80" s="91"/>
      <c r="Q80" s="91"/>
      <c r="R80" s="287">
        <v>0.1149</v>
      </c>
      <c r="S80" s="91"/>
      <c r="T80" s="287">
        <v>2.998E-2</v>
      </c>
      <c r="U80" s="91"/>
      <c r="V80" s="99">
        <f t="shared" si="2"/>
        <v>0.14488000000000001</v>
      </c>
      <c r="W80" s="34"/>
      <c r="X80" s="34"/>
      <c r="Y80" s="34"/>
      <c r="Z80" s="34"/>
      <c r="AA80" s="34"/>
      <c r="AB80" s="34"/>
      <c r="AC80" s="34"/>
      <c r="AD80" s="34"/>
      <c r="AE80" s="34"/>
      <c r="AF80" s="34"/>
      <c r="AG80" s="34"/>
      <c r="AH80" s="34"/>
      <c r="AI80" s="34"/>
      <c r="AJ80" s="34"/>
      <c r="AK80" s="34"/>
      <c r="AL80" s="34"/>
      <c r="AM80" s="34"/>
      <c r="AN80" s="34" t="s">
        <v>296</v>
      </c>
      <c r="AO80" s="34" t="s">
        <v>296</v>
      </c>
      <c r="AP80" s="34"/>
      <c r="AQ80" s="34"/>
      <c r="AR80" s="34"/>
      <c r="AS80" s="34"/>
      <c r="AT80" s="34"/>
      <c r="AU80" s="34"/>
      <c r="AV80" s="34"/>
      <c r="AW80" s="34"/>
      <c r="AX80" s="34"/>
      <c r="AY80" s="34"/>
      <c r="AZ80" s="34"/>
      <c r="BA80" s="5"/>
    </row>
    <row r="81" spans="1:53" ht="15" thickBot="1" x14ac:dyDescent="0.4">
      <c r="A81" s="24" t="s">
        <v>297</v>
      </c>
      <c r="B81" s="24" t="s">
        <v>297</v>
      </c>
      <c r="C81" s="24" t="s">
        <v>297</v>
      </c>
      <c r="D81" s="24" t="s">
        <v>297</v>
      </c>
      <c r="E81" s="24" t="s">
        <v>297</v>
      </c>
      <c r="F81" s="24" t="s">
        <v>296</v>
      </c>
      <c r="G81" s="24" t="s">
        <v>296</v>
      </c>
      <c r="H81" s="24" t="s">
        <v>297</v>
      </c>
      <c r="I81" s="24" t="s">
        <v>297</v>
      </c>
      <c r="J81" s="5" t="s">
        <v>358</v>
      </c>
      <c r="K81" s="5" t="s">
        <v>357</v>
      </c>
      <c r="L81" s="5" t="s">
        <v>351</v>
      </c>
      <c r="M81" s="5" t="s">
        <v>341</v>
      </c>
      <c r="N81" s="5" t="s">
        <v>342</v>
      </c>
      <c r="O81" s="5">
        <v>1.609</v>
      </c>
      <c r="P81" s="91"/>
      <c r="Q81" s="91"/>
      <c r="R81" s="287">
        <v>0.15486</v>
      </c>
      <c r="S81" s="91"/>
      <c r="T81" s="287">
        <v>3.9609999999999999E-2</v>
      </c>
      <c r="U81" s="91"/>
      <c r="V81" s="99">
        <f t="shared" si="2"/>
        <v>0.19447</v>
      </c>
      <c r="W81" s="34"/>
      <c r="X81" s="34"/>
      <c r="Y81" s="34"/>
      <c r="Z81" s="34"/>
      <c r="AA81" s="34"/>
      <c r="AB81" s="34"/>
      <c r="AC81" s="34"/>
      <c r="AD81" s="34"/>
      <c r="AE81" s="34"/>
      <c r="AF81" s="34"/>
      <c r="AG81" s="34"/>
      <c r="AH81" s="34"/>
      <c r="AI81" s="34"/>
      <c r="AJ81" s="34"/>
      <c r="AK81" s="34"/>
      <c r="AL81" s="34"/>
      <c r="AM81" s="34"/>
      <c r="AN81" s="34" t="s">
        <v>296</v>
      </c>
      <c r="AO81" s="34" t="s">
        <v>296</v>
      </c>
      <c r="AP81" s="34"/>
      <c r="AQ81" s="34"/>
      <c r="AR81" s="34"/>
      <c r="AS81" s="34"/>
      <c r="AT81" s="34"/>
      <c r="AU81" s="34"/>
      <c r="AV81" s="34"/>
      <c r="AW81" s="34"/>
      <c r="AX81" s="34"/>
      <c r="AY81" s="34"/>
      <c r="AZ81" s="34"/>
      <c r="BA81" s="5"/>
    </row>
    <row r="82" spans="1:53" ht="15" thickBot="1" x14ac:dyDescent="0.4">
      <c r="A82" s="24" t="s">
        <v>297</v>
      </c>
      <c r="B82" s="24" t="s">
        <v>297</v>
      </c>
      <c r="C82" s="24" t="s">
        <v>297</v>
      </c>
      <c r="D82" s="24" t="s">
        <v>297</v>
      </c>
      <c r="E82" s="24" t="s">
        <v>297</v>
      </c>
      <c r="F82" s="24" t="s">
        <v>296</v>
      </c>
      <c r="G82" s="24" t="s">
        <v>296</v>
      </c>
      <c r="H82" s="24" t="s">
        <v>297</v>
      </c>
      <c r="I82" s="24" t="s">
        <v>297</v>
      </c>
      <c r="J82" s="5" t="s">
        <v>358</v>
      </c>
      <c r="K82" s="5" t="s">
        <v>98</v>
      </c>
      <c r="L82" s="5" t="s">
        <v>351</v>
      </c>
      <c r="M82" s="5" t="s">
        <v>341</v>
      </c>
      <c r="N82" s="5" t="s">
        <v>342</v>
      </c>
      <c r="O82" s="5">
        <v>1.609</v>
      </c>
      <c r="P82" s="91"/>
      <c r="Q82" s="91"/>
      <c r="R82" s="287">
        <v>0.12606999999999999</v>
      </c>
      <c r="S82" s="91"/>
      <c r="T82" s="287">
        <v>3.3149999999999999E-2</v>
      </c>
      <c r="U82" s="91"/>
      <c r="V82" s="99">
        <f t="shared" si="2"/>
        <v>0.15921999999999997</v>
      </c>
      <c r="W82" s="34"/>
      <c r="X82" s="34"/>
      <c r="Y82" s="34"/>
      <c r="Z82" s="34"/>
      <c r="AA82" s="34"/>
      <c r="AB82" s="34"/>
      <c r="AC82" s="34"/>
      <c r="AD82" s="34"/>
      <c r="AE82" s="34"/>
      <c r="AF82" s="34"/>
      <c r="AG82" s="34"/>
      <c r="AH82" s="34"/>
      <c r="AI82" s="34"/>
      <c r="AJ82" s="34"/>
      <c r="AK82" s="34"/>
      <c r="AL82" s="34"/>
      <c r="AM82" s="34"/>
      <c r="AN82" s="34" t="s">
        <v>296</v>
      </c>
      <c r="AO82" s="34" t="s">
        <v>296</v>
      </c>
      <c r="AP82" s="34"/>
      <c r="AQ82" s="34"/>
      <c r="AR82" s="34"/>
      <c r="AS82" s="34"/>
      <c r="AT82" s="34"/>
      <c r="AU82" s="34"/>
      <c r="AV82" s="34"/>
      <c r="AW82" s="34"/>
      <c r="AX82" s="34"/>
      <c r="AY82" s="34"/>
      <c r="AZ82" s="34"/>
      <c r="BA82" s="5"/>
    </row>
    <row r="83" spans="1:53" ht="26.5" thickBot="1" x14ac:dyDescent="0.4">
      <c r="A83" s="24" t="s">
        <v>297</v>
      </c>
      <c r="B83" s="24" t="s">
        <v>297</v>
      </c>
      <c r="C83" s="24" t="s">
        <v>297</v>
      </c>
      <c r="D83" s="24" t="s">
        <v>297</v>
      </c>
      <c r="E83" s="24" t="s">
        <v>297</v>
      </c>
      <c r="F83" s="24" t="s">
        <v>296</v>
      </c>
      <c r="G83" s="24" t="s">
        <v>296</v>
      </c>
      <c r="H83" s="24" t="s">
        <v>297</v>
      </c>
      <c r="I83" s="24" t="s">
        <v>297</v>
      </c>
      <c r="J83" s="5" t="s">
        <v>358</v>
      </c>
      <c r="K83" s="5" t="s">
        <v>355</v>
      </c>
      <c r="L83" s="5" t="s">
        <v>352</v>
      </c>
      <c r="M83" s="5" t="s">
        <v>341</v>
      </c>
      <c r="N83" s="5" t="s">
        <v>342</v>
      </c>
      <c r="O83" s="5">
        <v>1.609</v>
      </c>
      <c r="P83" s="91"/>
      <c r="Q83" s="91"/>
      <c r="R83" s="287">
        <v>5.8290000000000002E-2</v>
      </c>
      <c r="S83" s="287">
        <v>2.49E-3</v>
      </c>
      <c r="T83" s="287">
        <v>1.52E-2</v>
      </c>
      <c r="U83" s="91"/>
      <c r="V83" s="99">
        <f t="shared" si="2"/>
        <v>7.5980000000000006E-2</v>
      </c>
      <c r="W83" s="34"/>
      <c r="X83" s="34"/>
      <c r="Y83" s="34"/>
      <c r="Z83" s="34"/>
      <c r="AA83" s="34"/>
      <c r="AB83" s="34"/>
      <c r="AC83" s="34"/>
      <c r="AD83" s="34"/>
      <c r="AE83" s="34"/>
      <c r="AF83" s="34"/>
      <c r="AG83" s="34"/>
      <c r="AH83" s="34"/>
      <c r="AI83" s="34"/>
      <c r="AJ83" s="34"/>
      <c r="AK83" s="34"/>
      <c r="AL83" s="34"/>
      <c r="AM83" s="34"/>
      <c r="AN83" s="34" t="s">
        <v>296</v>
      </c>
      <c r="AO83" s="34" t="s">
        <v>296</v>
      </c>
      <c r="AP83" s="34"/>
      <c r="AQ83" s="34"/>
      <c r="AR83" s="34"/>
      <c r="AS83" s="34"/>
      <c r="AT83" s="34"/>
      <c r="AU83" s="34"/>
      <c r="AV83" s="34"/>
      <c r="AW83" s="34"/>
      <c r="AX83" s="34"/>
      <c r="AY83" s="34"/>
      <c r="AZ83" s="34"/>
      <c r="BA83" s="5"/>
    </row>
    <row r="84" spans="1:53" ht="26.5" thickBot="1" x14ac:dyDescent="0.4">
      <c r="A84" s="24" t="s">
        <v>297</v>
      </c>
      <c r="B84" s="24" t="s">
        <v>297</v>
      </c>
      <c r="C84" s="24" t="s">
        <v>297</v>
      </c>
      <c r="D84" s="24" t="s">
        <v>297</v>
      </c>
      <c r="E84" s="24" t="s">
        <v>297</v>
      </c>
      <c r="F84" s="24" t="s">
        <v>296</v>
      </c>
      <c r="G84" s="24" t="s">
        <v>296</v>
      </c>
      <c r="H84" s="24" t="s">
        <v>297</v>
      </c>
      <c r="I84" s="24" t="s">
        <v>297</v>
      </c>
      <c r="J84" s="5" t="s">
        <v>358</v>
      </c>
      <c r="K84" s="5" t="s">
        <v>356</v>
      </c>
      <c r="L84" s="5" t="s">
        <v>352</v>
      </c>
      <c r="M84" s="5" t="s">
        <v>341</v>
      </c>
      <c r="N84" s="5" t="s">
        <v>342</v>
      </c>
      <c r="O84" s="5">
        <v>1.609</v>
      </c>
      <c r="P84" s="91"/>
      <c r="Q84" s="91"/>
      <c r="R84" s="287">
        <v>9.2149999999999996E-2</v>
      </c>
      <c r="S84" s="287">
        <v>9.7000000000000005E-4</v>
      </c>
      <c r="T84" s="287">
        <v>2.5239999999999999E-2</v>
      </c>
      <c r="U84" s="91"/>
      <c r="V84" s="99">
        <f t="shared" si="2"/>
        <v>0.11835999999999999</v>
      </c>
      <c r="W84" s="34"/>
      <c r="X84" s="34"/>
      <c r="Y84" s="34"/>
      <c r="Z84" s="34"/>
      <c r="AA84" s="34"/>
      <c r="AB84" s="34"/>
      <c r="AC84" s="34"/>
      <c r="AD84" s="34"/>
      <c r="AE84" s="34"/>
      <c r="AF84" s="34"/>
      <c r="AG84" s="34"/>
      <c r="AH84" s="34"/>
      <c r="AI84" s="34"/>
      <c r="AJ84" s="34"/>
      <c r="AK84" s="34"/>
      <c r="AL84" s="34"/>
      <c r="AM84" s="34"/>
      <c r="AN84" s="34" t="s">
        <v>296</v>
      </c>
      <c r="AO84" s="34" t="s">
        <v>296</v>
      </c>
      <c r="AP84" s="34"/>
      <c r="AQ84" s="34"/>
      <c r="AR84" s="34"/>
      <c r="AS84" s="34"/>
      <c r="AT84" s="34"/>
      <c r="AU84" s="34"/>
      <c r="AV84" s="34"/>
      <c r="AW84" s="34"/>
      <c r="AX84" s="34"/>
      <c r="AY84" s="34"/>
      <c r="AZ84" s="34"/>
      <c r="BA84" s="5"/>
    </row>
    <row r="85" spans="1:53" ht="26.5" thickBot="1" x14ac:dyDescent="0.4">
      <c r="A85" s="24" t="s">
        <v>297</v>
      </c>
      <c r="B85" s="24" t="s">
        <v>297</v>
      </c>
      <c r="C85" s="24" t="s">
        <v>297</v>
      </c>
      <c r="D85" s="24" t="s">
        <v>297</v>
      </c>
      <c r="E85" s="24" t="s">
        <v>297</v>
      </c>
      <c r="F85" s="24" t="s">
        <v>296</v>
      </c>
      <c r="G85" s="24" t="s">
        <v>296</v>
      </c>
      <c r="H85" s="24" t="s">
        <v>297</v>
      </c>
      <c r="I85" s="24" t="s">
        <v>297</v>
      </c>
      <c r="J85" s="5" t="s">
        <v>358</v>
      </c>
      <c r="K85" s="5" t="s">
        <v>357</v>
      </c>
      <c r="L85" s="5" t="s">
        <v>352</v>
      </c>
      <c r="M85" s="5" t="s">
        <v>341</v>
      </c>
      <c r="N85" s="5" t="s">
        <v>342</v>
      </c>
      <c r="O85" s="5">
        <v>1.609</v>
      </c>
      <c r="P85" s="91"/>
      <c r="Q85" s="91"/>
      <c r="R85" s="287">
        <v>0.11792</v>
      </c>
      <c r="S85" s="287">
        <v>1.31E-3</v>
      </c>
      <c r="T85" s="287">
        <v>3.2210000000000003E-2</v>
      </c>
      <c r="U85" s="91"/>
      <c r="V85" s="99">
        <f t="shared" si="2"/>
        <v>0.15144000000000002</v>
      </c>
      <c r="W85" s="34"/>
      <c r="X85" s="34"/>
      <c r="Y85" s="34"/>
      <c r="Z85" s="34"/>
      <c r="AA85" s="34"/>
      <c r="AB85" s="34"/>
      <c r="AC85" s="34"/>
      <c r="AD85" s="34"/>
      <c r="AE85" s="34"/>
      <c r="AF85" s="34"/>
      <c r="AG85" s="34"/>
      <c r="AH85" s="34"/>
      <c r="AI85" s="34"/>
      <c r="AJ85" s="34"/>
      <c r="AK85" s="34"/>
      <c r="AL85" s="34"/>
      <c r="AM85" s="34"/>
      <c r="AN85" s="34" t="s">
        <v>296</v>
      </c>
      <c r="AO85" s="34" t="s">
        <v>296</v>
      </c>
      <c r="AP85" s="34"/>
      <c r="AQ85" s="34"/>
      <c r="AR85" s="34"/>
      <c r="AS85" s="34"/>
      <c r="AT85" s="34"/>
      <c r="AU85" s="34"/>
      <c r="AV85" s="34"/>
      <c r="AW85" s="34"/>
      <c r="AX85" s="34"/>
      <c r="AY85" s="34"/>
      <c r="AZ85" s="34"/>
      <c r="BA85" s="5"/>
    </row>
    <row r="86" spans="1:53" ht="26.5" thickBot="1" x14ac:dyDescent="0.4">
      <c r="A86" s="24" t="s">
        <v>297</v>
      </c>
      <c r="B86" s="24" t="s">
        <v>297</v>
      </c>
      <c r="C86" s="24" t="s">
        <v>297</v>
      </c>
      <c r="D86" s="24" t="s">
        <v>297</v>
      </c>
      <c r="E86" s="24" t="s">
        <v>297</v>
      </c>
      <c r="F86" s="24" t="s">
        <v>296</v>
      </c>
      <c r="G86" s="24" t="s">
        <v>296</v>
      </c>
      <c r="H86" s="24" t="s">
        <v>297</v>
      </c>
      <c r="I86" s="24" t="s">
        <v>297</v>
      </c>
      <c r="J86" s="5" t="s">
        <v>358</v>
      </c>
      <c r="K86" s="5" t="s">
        <v>98</v>
      </c>
      <c r="L86" s="5" t="s">
        <v>352</v>
      </c>
      <c r="M86" s="5" t="s">
        <v>341</v>
      </c>
      <c r="N86" s="5" t="s">
        <v>342</v>
      </c>
      <c r="O86" s="5">
        <v>1.609</v>
      </c>
      <c r="P86" s="91"/>
      <c r="Q86" s="91"/>
      <c r="R86" s="287">
        <v>0.10732</v>
      </c>
      <c r="S86" s="287">
        <v>1.2099999999999999E-3</v>
      </c>
      <c r="T86" s="287">
        <v>2.9340000000000001E-2</v>
      </c>
      <c r="U86" s="91"/>
      <c r="V86" s="99">
        <f t="shared" si="2"/>
        <v>0.13786999999999999</v>
      </c>
      <c r="W86" s="34"/>
      <c r="X86" s="34"/>
      <c r="Y86" s="34"/>
      <c r="Z86" s="34"/>
      <c r="AA86" s="34"/>
      <c r="AB86" s="34"/>
      <c r="AC86" s="34"/>
      <c r="AD86" s="34"/>
      <c r="AE86" s="34"/>
      <c r="AF86" s="34"/>
      <c r="AG86" s="34"/>
      <c r="AH86" s="34"/>
      <c r="AI86" s="34"/>
      <c r="AJ86" s="34"/>
      <c r="AK86" s="34"/>
      <c r="AL86" s="34"/>
      <c r="AM86" s="34"/>
      <c r="AN86" s="34" t="s">
        <v>296</v>
      </c>
      <c r="AO86" s="34" t="s">
        <v>296</v>
      </c>
      <c r="AP86" s="34"/>
      <c r="AQ86" s="34"/>
      <c r="AR86" s="34"/>
      <c r="AS86" s="34"/>
      <c r="AT86" s="34"/>
      <c r="AU86" s="34"/>
      <c r="AV86" s="34"/>
      <c r="AW86" s="34"/>
      <c r="AX86" s="34"/>
      <c r="AY86" s="34"/>
      <c r="AZ86" s="34"/>
      <c r="BA86" s="5"/>
    </row>
    <row r="87" spans="1:53" ht="26.5" thickBot="1" x14ac:dyDescent="0.4">
      <c r="A87" s="24" t="s">
        <v>297</v>
      </c>
      <c r="B87" s="24" t="s">
        <v>297</v>
      </c>
      <c r="C87" s="24" t="s">
        <v>297</v>
      </c>
      <c r="D87" s="24" t="s">
        <v>297</v>
      </c>
      <c r="E87" s="24" t="s">
        <v>297</v>
      </c>
      <c r="F87" s="24" t="s">
        <v>296</v>
      </c>
      <c r="G87" s="24" t="s">
        <v>296</v>
      </c>
      <c r="H87" s="24" t="s">
        <v>297</v>
      </c>
      <c r="I87" s="24" t="s">
        <v>297</v>
      </c>
      <c r="J87" s="5" t="s">
        <v>358</v>
      </c>
      <c r="K87" s="5" t="s">
        <v>355</v>
      </c>
      <c r="L87" s="5" t="s">
        <v>343</v>
      </c>
      <c r="M87" s="5" t="s">
        <v>341</v>
      </c>
      <c r="N87" s="5" t="s">
        <v>342</v>
      </c>
      <c r="O87" s="5">
        <v>1.609</v>
      </c>
      <c r="P87" s="91"/>
      <c r="Q87" s="91"/>
      <c r="R87" s="287">
        <v>3.9370000000000002E-2</v>
      </c>
      <c r="S87" s="287">
        <v>3.47E-3</v>
      </c>
      <c r="T87" s="287">
        <v>9.4800000000000006E-3</v>
      </c>
      <c r="U87" s="91"/>
      <c r="V87" s="99">
        <f t="shared" si="2"/>
        <v>5.2320000000000005E-2</v>
      </c>
      <c r="W87" s="34"/>
      <c r="X87" s="34"/>
      <c r="Y87" s="34"/>
      <c r="Z87" s="34"/>
      <c r="AA87" s="34"/>
      <c r="AB87" s="34"/>
      <c r="AC87" s="34"/>
      <c r="AD87" s="34"/>
      <c r="AE87" s="34"/>
      <c r="AF87" s="34"/>
      <c r="AG87" s="34"/>
      <c r="AH87" s="34"/>
      <c r="AI87" s="34"/>
      <c r="AJ87" s="34"/>
      <c r="AK87" s="34"/>
      <c r="AL87" s="34"/>
      <c r="AM87" s="34"/>
      <c r="AN87" s="34" t="s">
        <v>296</v>
      </c>
      <c r="AO87" s="34" t="s">
        <v>296</v>
      </c>
      <c r="AP87" s="34"/>
      <c r="AQ87" s="34"/>
      <c r="AR87" s="34"/>
      <c r="AS87" s="34"/>
      <c r="AT87" s="34"/>
      <c r="AU87" s="34"/>
      <c r="AV87" s="34"/>
      <c r="AW87" s="34"/>
      <c r="AX87" s="34"/>
      <c r="AY87" s="34"/>
      <c r="AZ87" s="34"/>
      <c r="BA87" s="5"/>
    </row>
    <row r="88" spans="1:53" ht="26.5" thickBot="1" x14ac:dyDescent="0.4">
      <c r="A88" s="24" t="s">
        <v>297</v>
      </c>
      <c r="B88" s="24" t="s">
        <v>297</v>
      </c>
      <c r="C88" s="24" t="s">
        <v>297</v>
      </c>
      <c r="D88" s="24" t="s">
        <v>297</v>
      </c>
      <c r="E88" s="24" t="s">
        <v>297</v>
      </c>
      <c r="F88" s="24" t="s">
        <v>296</v>
      </c>
      <c r="G88" s="24" t="s">
        <v>296</v>
      </c>
      <c r="H88" s="24" t="s">
        <v>297</v>
      </c>
      <c r="I88" s="24" t="s">
        <v>297</v>
      </c>
      <c r="J88" s="5" t="s">
        <v>358</v>
      </c>
      <c r="K88" s="5" t="s">
        <v>356</v>
      </c>
      <c r="L88" s="5" t="s">
        <v>343</v>
      </c>
      <c r="M88" s="5" t="s">
        <v>341</v>
      </c>
      <c r="N88" s="5" t="s">
        <v>342</v>
      </c>
      <c r="O88" s="5">
        <v>1.609</v>
      </c>
      <c r="P88" s="91"/>
      <c r="Q88" s="91"/>
      <c r="R88" s="287">
        <v>4.249E-2</v>
      </c>
      <c r="S88" s="287">
        <v>3.7599999999999999E-3</v>
      </c>
      <c r="T88" s="287">
        <v>1.022E-2</v>
      </c>
      <c r="U88" s="91"/>
      <c r="V88" s="99">
        <f t="shared" si="2"/>
        <v>5.6469999999999999E-2</v>
      </c>
      <c r="W88" s="34"/>
      <c r="X88" s="34"/>
      <c r="Y88" s="34"/>
      <c r="Z88" s="34"/>
      <c r="AA88" s="34"/>
      <c r="AB88" s="34"/>
      <c r="AC88" s="34"/>
      <c r="AD88" s="34"/>
      <c r="AE88" s="34"/>
      <c r="AF88" s="34"/>
      <c r="AG88" s="34"/>
      <c r="AH88" s="34"/>
      <c r="AI88" s="34"/>
      <c r="AJ88" s="34"/>
      <c r="AK88" s="34"/>
      <c r="AL88" s="34"/>
      <c r="AM88" s="34"/>
      <c r="AN88" s="34" t="s">
        <v>296</v>
      </c>
      <c r="AO88" s="34" t="s">
        <v>296</v>
      </c>
      <c r="AP88" s="34"/>
      <c r="AQ88" s="34"/>
      <c r="AR88" s="34"/>
      <c r="AS88" s="34"/>
      <c r="AT88" s="34"/>
      <c r="AU88" s="34"/>
      <c r="AV88" s="34"/>
      <c r="AW88" s="34"/>
      <c r="AX88" s="34"/>
      <c r="AY88" s="34"/>
      <c r="AZ88" s="34"/>
      <c r="BA88" s="5"/>
    </row>
    <row r="89" spans="1:53" ht="26.5" thickBot="1" x14ac:dyDescent="0.4">
      <c r="A89" s="24" t="s">
        <v>297</v>
      </c>
      <c r="B89" s="24" t="s">
        <v>297</v>
      </c>
      <c r="C89" s="24" t="s">
        <v>297</v>
      </c>
      <c r="D89" s="24" t="s">
        <v>297</v>
      </c>
      <c r="E89" s="24" t="s">
        <v>297</v>
      </c>
      <c r="F89" s="24" t="s">
        <v>296</v>
      </c>
      <c r="G89" s="24" t="s">
        <v>296</v>
      </c>
      <c r="H89" s="24" t="s">
        <v>297</v>
      </c>
      <c r="I89" s="24" t="s">
        <v>297</v>
      </c>
      <c r="J89" s="5" t="s">
        <v>358</v>
      </c>
      <c r="K89" s="5" t="s">
        <v>357</v>
      </c>
      <c r="L89" s="5" t="s">
        <v>343</v>
      </c>
      <c r="M89" s="5" t="s">
        <v>341</v>
      </c>
      <c r="N89" s="5" t="s">
        <v>342</v>
      </c>
      <c r="O89" s="5">
        <v>1.609</v>
      </c>
      <c r="P89" s="91"/>
      <c r="Q89" s="91"/>
      <c r="R89" s="287">
        <v>4.5249999999999999E-2</v>
      </c>
      <c r="S89" s="287">
        <v>4.0000000000000001E-3</v>
      </c>
      <c r="T89" s="287">
        <v>1.0880000000000001E-2</v>
      </c>
      <c r="U89" s="91"/>
      <c r="V89" s="99">
        <f t="shared" si="2"/>
        <v>6.0130000000000003E-2</v>
      </c>
      <c r="W89" s="34"/>
      <c r="X89" s="34"/>
      <c r="Y89" s="34"/>
      <c r="Z89" s="34"/>
      <c r="AA89" s="34"/>
      <c r="AB89" s="34"/>
      <c r="AC89" s="34"/>
      <c r="AD89" s="34"/>
      <c r="AE89" s="34"/>
      <c r="AF89" s="34"/>
      <c r="AG89" s="34"/>
      <c r="AH89" s="34"/>
      <c r="AI89" s="34"/>
      <c r="AJ89" s="34"/>
      <c r="AK89" s="34"/>
      <c r="AL89" s="34"/>
      <c r="AM89" s="34"/>
      <c r="AN89" s="34" t="s">
        <v>296</v>
      </c>
      <c r="AO89" s="34" t="s">
        <v>296</v>
      </c>
      <c r="AP89" s="34"/>
      <c r="AQ89" s="34"/>
      <c r="AR89" s="34"/>
      <c r="AS89" s="34"/>
      <c r="AT89" s="34"/>
      <c r="AU89" s="34"/>
      <c r="AV89" s="34"/>
      <c r="AW89" s="34"/>
      <c r="AX89" s="34"/>
      <c r="AY89" s="34"/>
      <c r="AZ89" s="34"/>
      <c r="BA89" s="5"/>
    </row>
    <row r="90" spans="1:53" ht="26.5" thickBot="1" x14ac:dyDescent="0.4">
      <c r="A90" s="24" t="s">
        <v>297</v>
      </c>
      <c r="B90" s="24" t="s">
        <v>297</v>
      </c>
      <c r="C90" s="24" t="s">
        <v>297</v>
      </c>
      <c r="D90" s="24" t="s">
        <v>297</v>
      </c>
      <c r="E90" s="24" t="s">
        <v>297</v>
      </c>
      <c r="F90" s="24" t="s">
        <v>296</v>
      </c>
      <c r="G90" s="24" t="s">
        <v>296</v>
      </c>
      <c r="H90" s="24" t="s">
        <v>297</v>
      </c>
      <c r="I90" s="24" t="s">
        <v>297</v>
      </c>
      <c r="J90" s="5" t="s">
        <v>358</v>
      </c>
      <c r="K90" s="5" t="s">
        <v>98</v>
      </c>
      <c r="L90" s="5" t="s">
        <v>343</v>
      </c>
      <c r="M90" s="5" t="s">
        <v>341</v>
      </c>
      <c r="N90" s="5" t="s">
        <v>342</v>
      </c>
      <c r="O90" s="5">
        <v>1.609</v>
      </c>
      <c r="P90" s="91"/>
      <c r="Q90" s="91"/>
      <c r="R90" s="287">
        <v>4.3589999999999997E-2</v>
      </c>
      <c r="S90" s="287">
        <v>3.8600000000000001E-3</v>
      </c>
      <c r="T90" s="287">
        <v>1.0489999999999999E-2</v>
      </c>
      <c r="U90" s="91"/>
      <c r="V90" s="99">
        <f t="shared" si="2"/>
        <v>5.7939999999999998E-2</v>
      </c>
      <c r="W90" s="34"/>
      <c r="X90" s="34"/>
      <c r="Y90" s="34"/>
      <c r="Z90" s="34"/>
      <c r="AA90" s="34"/>
      <c r="AB90" s="34"/>
      <c r="AC90" s="34"/>
      <c r="AD90" s="34"/>
      <c r="AE90" s="34"/>
      <c r="AF90" s="34"/>
      <c r="AG90" s="34"/>
      <c r="AH90" s="34"/>
      <c r="AI90" s="34"/>
      <c r="AJ90" s="34"/>
      <c r="AK90" s="34"/>
      <c r="AL90" s="34"/>
      <c r="AM90" s="34"/>
      <c r="AN90" s="34" t="s">
        <v>296</v>
      </c>
      <c r="AO90" s="34" t="s">
        <v>296</v>
      </c>
      <c r="AP90" s="34"/>
      <c r="AQ90" s="34"/>
      <c r="AR90" s="34"/>
      <c r="AS90" s="34"/>
      <c r="AT90" s="34"/>
      <c r="AU90" s="34"/>
      <c r="AV90" s="34"/>
      <c r="AW90" s="34"/>
      <c r="AX90" s="34"/>
      <c r="AY90" s="34"/>
      <c r="AZ90" s="34"/>
      <c r="BA90" s="5"/>
    </row>
    <row r="91" spans="1:53" ht="15" thickBot="1" x14ac:dyDescent="0.4">
      <c r="A91" s="24" t="s">
        <v>297</v>
      </c>
      <c r="B91" s="24" t="s">
        <v>297</v>
      </c>
      <c r="C91" s="24" t="s">
        <v>297</v>
      </c>
      <c r="D91" s="24" t="s">
        <v>297</v>
      </c>
      <c r="E91" s="24" t="s">
        <v>297</v>
      </c>
      <c r="F91" s="24" t="s">
        <v>296</v>
      </c>
      <c r="G91" s="24" t="s">
        <v>296</v>
      </c>
      <c r="H91" s="24" t="s">
        <v>297</v>
      </c>
      <c r="I91" s="24" t="s">
        <v>297</v>
      </c>
      <c r="J91" s="5" t="s">
        <v>358</v>
      </c>
      <c r="K91" s="5" t="s">
        <v>355</v>
      </c>
      <c r="L91" s="5" t="s">
        <v>353</v>
      </c>
      <c r="M91" s="5" t="s">
        <v>341</v>
      </c>
      <c r="N91" s="5" t="s">
        <v>342</v>
      </c>
      <c r="O91" s="5">
        <v>1.609</v>
      </c>
      <c r="P91" s="91"/>
      <c r="Q91" s="91"/>
      <c r="R91" s="287">
        <v>0.14262</v>
      </c>
      <c r="S91" s="91"/>
      <c r="T91" s="287">
        <v>3.8359999999999998E-2</v>
      </c>
      <c r="U91" s="91"/>
      <c r="V91" s="99">
        <f t="shared" si="2"/>
        <v>0.18098</v>
      </c>
      <c r="W91" s="34"/>
      <c r="X91" s="34"/>
      <c r="Y91" s="34"/>
      <c r="Z91" s="34"/>
      <c r="AA91" s="34"/>
      <c r="AB91" s="34"/>
      <c r="AC91" s="34"/>
      <c r="AD91" s="34"/>
      <c r="AE91" s="34"/>
      <c r="AF91" s="34"/>
      <c r="AG91" s="34"/>
      <c r="AH91" s="34"/>
      <c r="AI91" s="34"/>
      <c r="AJ91" s="34"/>
      <c r="AK91" s="34"/>
      <c r="AL91" s="34"/>
      <c r="AM91" s="34"/>
      <c r="AN91" s="34" t="s">
        <v>296</v>
      </c>
      <c r="AO91" s="34" t="s">
        <v>296</v>
      </c>
      <c r="AP91" s="34"/>
      <c r="AQ91" s="34"/>
      <c r="AR91" s="34"/>
      <c r="AS91" s="34"/>
      <c r="AT91" s="34"/>
      <c r="AU91" s="34"/>
      <c r="AV91" s="34"/>
      <c r="AW91" s="34"/>
      <c r="AX91" s="34"/>
      <c r="AY91" s="34"/>
      <c r="AZ91" s="34"/>
      <c r="BA91" s="5"/>
    </row>
    <row r="92" spans="1:53" ht="15" thickBot="1" x14ac:dyDescent="0.4">
      <c r="A92" s="24" t="s">
        <v>297</v>
      </c>
      <c r="B92" s="24" t="s">
        <v>297</v>
      </c>
      <c r="C92" s="24" t="s">
        <v>297</v>
      </c>
      <c r="D92" s="24" t="s">
        <v>297</v>
      </c>
      <c r="E92" s="24" t="s">
        <v>297</v>
      </c>
      <c r="F92" s="24" t="s">
        <v>296</v>
      </c>
      <c r="G92" s="24" t="s">
        <v>296</v>
      </c>
      <c r="H92" s="24" t="s">
        <v>297</v>
      </c>
      <c r="I92" s="24" t="s">
        <v>297</v>
      </c>
      <c r="J92" s="5" t="s">
        <v>358</v>
      </c>
      <c r="K92" s="5" t="s">
        <v>356</v>
      </c>
      <c r="L92" s="5" t="s">
        <v>353</v>
      </c>
      <c r="M92" s="5" t="s">
        <v>341</v>
      </c>
      <c r="N92" s="5" t="s">
        <v>342</v>
      </c>
      <c r="O92" s="5">
        <v>1.609</v>
      </c>
      <c r="P92" s="91"/>
      <c r="Q92" s="91"/>
      <c r="R92" s="287">
        <v>0.17255999999999999</v>
      </c>
      <c r="S92" s="91"/>
      <c r="T92" s="287">
        <v>4.5179999999999998E-2</v>
      </c>
      <c r="U92" s="91"/>
      <c r="V92" s="99">
        <f t="shared" si="2"/>
        <v>0.21773999999999999</v>
      </c>
      <c r="W92" s="34"/>
      <c r="X92" s="34"/>
      <c r="Y92" s="34"/>
      <c r="Z92" s="34"/>
      <c r="AA92" s="34"/>
      <c r="AB92" s="34"/>
      <c r="AC92" s="34"/>
      <c r="AD92" s="34"/>
      <c r="AE92" s="34"/>
      <c r="AF92" s="34"/>
      <c r="AG92" s="34"/>
      <c r="AH92" s="34"/>
      <c r="AI92" s="34"/>
      <c r="AJ92" s="34"/>
      <c r="AK92" s="34"/>
      <c r="AL92" s="34"/>
      <c r="AM92" s="34"/>
      <c r="AN92" s="34" t="s">
        <v>296</v>
      </c>
      <c r="AO92" s="34" t="s">
        <v>296</v>
      </c>
      <c r="AP92" s="34"/>
      <c r="AQ92" s="34"/>
      <c r="AR92" s="34"/>
      <c r="AS92" s="34"/>
      <c r="AT92" s="34"/>
      <c r="AU92" s="34"/>
      <c r="AV92" s="34"/>
      <c r="AW92" s="34"/>
      <c r="AX92" s="34"/>
      <c r="AY92" s="34"/>
      <c r="AZ92" s="34"/>
      <c r="BA92" s="5"/>
    </row>
    <row r="93" spans="1:53" ht="15" thickBot="1" x14ac:dyDescent="0.4">
      <c r="A93" s="24" t="s">
        <v>297</v>
      </c>
      <c r="B93" s="24" t="s">
        <v>297</v>
      </c>
      <c r="C93" s="24" t="s">
        <v>297</v>
      </c>
      <c r="D93" s="24" t="s">
        <v>297</v>
      </c>
      <c r="E93" s="24" t="s">
        <v>297</v>
      </c>
      <c r="F93" s="24" t="s">
        <v>296</v>
      </c>
      <c r="G93" s="24" t="s">
        <v>296</v>
      </c>
      <c r="H93" s="24" t="s">
        <v>297</v>
      </c>
      <c r="I93" s="24" t="s">
        <v>297</v>
      </c>
      <c r="J93" s="5" t="s">
        <v>358</v>
      </c>
      <c r="K93" s="5" t="s">
        <v>357</v>
      </c>
      <c r="L93" s="5" t="s">
        <v>353</v>
      </c>
      <c r="M93" s="5" t="s">
        <v>341</v>
      </c>
      <c r="N93" s="5" t="s">
        <v>342</v>
      </c>
      <c r="O93" s="5">
        <v>1.609</v>
      </c>
      <c r="P93" s="91"/>
      <c r="Q93" s="91"/>
      <c r="R93" s="287">
        <v>0.22472</v>
      </c>
      <c r="S93" s="91"/>
      <c r="T93" s="287">
        <v>5.7639999999999997E-2</v>
      </c>
      <c r="U93" s="91"/>
      <c r="V93" s="99">
        <f t="shared" si="2"/>
        <v>0.28236</v>
      </c>
      <c r="W93" s="34"/>
      <c r="X93" s="34"/>
      <c r="Y93" s="34"/>
      <c r="Z93" s="34"/>
      <c r="AA93" s="34"/>
      <c r="AB93" s="34"/>
      <c r="AC93" s="34"/>
      <c r="AD93" s="34"/>
      <c r="AE93" s="34"/>
      <c r="AF93" s="34"/>
      <c r="AG93" s="34"/>
      <c r="AH93" s="34"/>
      <c r="AI93" s="34"/>
      <c r="AJ93" s="34"/>
      <c r="AK93" s="34"/>
      <c r="AL93" s="34"/>
      <c r="AM93" s="34"/>
      <c r="AN93" s="34" t="s">
        <v>296</v>
      </c>
      <c r="AO93" s="34" t="s">
        <v>296</v>
      </c>
      <c r="AP93" s="34"/>
      <c r="AQ93" s="34"/>
      <c r="AR93" s="34"/>
      <c r="AS93" s="34"/>
      <c r="AT93" s="34"/>
      <c r="AU93" s="34"/>
      <c r="AV93" s="34"/>
      <c r="AW93" s="34"/>
      <c r="AX93" s="34"/>
      <c r="AY93" s="34"/>
      <c r="AZ93" s="34"/>
      <c r="BA93" s="5"/>
    </row>
    <row r="94" spans="1:53" ht="15" thickBot="1" x14ac:dyDescent="0.4">
      <c r="A94" s="24" t="s">
        <v>297</v>
      </c>
      <c r="B94" s="24" t="s">
        <v>297</v>
      </c>
      <c r="C94" s="24" t="s">
        <v>297</v>
      </c>
      <c r="D94" s="24" t="s">
        <v>297</v>
      </c>
      <c r="E94" s="24" t="s">
        <v>297</v>
      </c>
      <c r="F94" s="24" t="s">
        <v>296</v>
      </c>
      <c r="G94" s="24" t="s">
        <v>296</v>
      </c>
      <c r="H94" s="24" t="s">
        <v>297</v>
      </c>
      <c r="I94" s="24" t="s">
        <v>297</v>
      </c>
      <c r="J94" s="5" t="s">
        <v>358</v>
      </c>
      <c r="K94" s="5" t="s">
        <v>98</v>
      </c>
      <c r="L94" s="5" t="s">
        <v>353</v>
      </c>
      <c r="M94" s="5" t="s">
        <v>341</v>
      </c>
      <c r="N94" s="5" t="s">
        <v>342</v>
      </c>
      <c r="O94" s="5">
        <v>1.609</v>
      </c>
      <c r="P94" s="91"/>
      <c r="Q94" s="91"/>
      <c r="R94" s="287">
        <v>0.16691</v>
      </c>
      <c r="S94" s="91"/>
      <c r="T94" s="287">
        <v>4.3990000000000001E-2</v>
      </c>
      <c r="U94" s="91"/>
      <c r="V94" s="99">
        <f t="shared" si="2"/>
        <v>0.2109</v>
      </c>
      <c r="W94" s="34"/>
      <c r="X94" s="34"/>
      <c r="Y94" s="34"/>
      <c r="Z94" s="34"/>
      <c r="AA94" s="34"/>
      <c r="AB94" s="34"/>
      <c r="AC94" s="34"/>
      <c r="AD94" s="34"/>
      <c r="AE94" s="34"/>
      <c r="AF94" s="34"/>
      <c r="AG94" s="34"/>
      <c r="AH94" s="34"/>
      <c r="AI94" s="34"/>
      <c r="AJ94" s="34"/>
      <c r="AK94" s="34"/>
      <c r="AL94" s="34"/>
      <c r="AM94" s="34"/>
      <c r="AN94" s="34" t="s">
        <v>296</v>
      </c>
      <c r="AO94" s="34" t="s">
        <v>296</v>
      </c>
      <c r="AP94" s="34"/>
      <c r="AQ94" s="34"/>
      <c r="AR94" s="34"/>
      <c r="AS94" s="34"/>
      <c r="AT94" s="34"/>
      <c r="AU94" s="34"/>
      <c r="AV94" s="34"/>
      <c r="AW94" s="34"/>
      <c r="AX94" s="34"/>
      <c r="AY94" s="34"/>
      <c r="AZ94" s="34"/>
      <c r="BA94" s="5"/>
    </row>
    <row r="95" spans="1:53" ht="15" thickBot="1" x14ac:dyDescent="0.4">
      <c r="A95" s="24" t="s">
        <v>297</v>
      </c>
      <c r="B95" s="24" t="s">
        <v>297</v>
      </c>
      <c r="C95" s="24" t="s">
        <v>297</v>
      </c>
      <c r="D95" s="24" t="s">
        <v>297</v>
      </c>
      <c r="E95" s="24" t="s">
        <v>297</v>
      </c>
      <c r="F95" s="24" t="s">
        <v>296</v>
      </c>
      <c r="G95" s="24" t="s">
        <v>296</v>
      </c>
      <c r="H95" s="24" t="s">
        <v>297</v>
      </c>
      <c r="I95" s="24" t="s">
        <v>297</v>
      </c>
      <c r="J95" s="5" t="s">
        <v>97</v>
      </c>
      <c r="K95" s="5" t="s">
        <v>355</v>
      </c>
      <c r="L95" s="5" t="s">
        <v>99</v>
      </c>
      <c r="M95" s="5" t="s">
        <v>341</v>
      </c>
      <c r="N95" s="5" t="s">
        <v>342</v>
      </c>
      <c r="O95" s="5">
        <v>1.609</v>
      </c>
      <c r="P95" s="91"/>
      <c r="Q95" s="91"/>
      <c r="R95" s="287">
        <v>8.319E-2</v>
      </c>
      <c r="S95" s="91"/>
      <c r="T95" s="287">
        <v>2.1479999999999999E-2</v>
      </c>
      <c r="U95" s="91"/>
      <c r="V95" s="99">
        <f t="shared" si="2"/>
        <v>0.10467</v>
      </c>
      <c r="W95" s="34"/>
      <c r="X95" s="34"/>
      <c r="Y95" s="34"/>
      <c r="Z95" s="34"/>
      <c r="AA95" s="34"/>
      <c r="AB95" s="34"/>
      <c r="AC95" s="34"/>
      <c r="AD95" s="34"/>
      <c r="AE95" s="34"/>
      <c r="AF95" s="34"/>
      <c r="AG95" s="34"/>
      <c r="AH95" s="34"/>
      <c r="AI95" s="34"/>
      <c r="AJ95" s="34"/>
      <c r="AK95" s="34"/>
      <c r="AL95" s="34"/>
      <c r="AM95" s="34"/>
      <c r="AN95" s="34" t="s">
        <v>296</v>
      </c>
      <c r="AO95" s="34" t="s">
        <v>296</v>
      </c>
      <c r="AP95" s="34"/>
      <c r="AQ95" s="34"/>
      <c r="AR95" s="34"/>
      <c r="AS95" s="34"/>
      <c r="AT95" s="34"/>
      <c r="AU95" s="34"/>
      <c r="AV95" s="34"/>
      <c r="AW95" s="34"/>
      <c r="AX95" s="34"/>
      <c r="AY95" s="34"/>
      <c r="AZ95" s="34"/>
      <c r="BA95" s="5"/>
    </row>
    <row r="96" spans="1:53" ht="15" thickBot="1" x14ac:dyDescent="0.4">
      <c r="A96" s="24" t="s">
        <v>297</v>
      </c>
      <c r="B96" s="24" t="s">
        <v>297</v>
      </c>
      <c r="C96" s="24" t="s">
        <v>297</v>
      </c>
      <c r="D96" s="24" t="s">
        <v>297</v>
      </c>
      <c r="E96" s="24" t="s">
        <v>297</v>
      </c>
      <c r="F96" s="24" t="s">
        <v>296</v>
      </c>
      <c r="G96" s="24" t="s">
        <v>296</v>
      </c>
      <c r="H96" s="24" t="s">
        <v>297</v>
      </c>
      <c r="I96" s="24" t="s">
        <v>297</v>
      </c>
      <c r="J96" s="5" t="s">
        <v>97</v>
      </c>
      <c r="K96" s="5" t="s">
        <v>356</v>
      </c>
      <c r="L96" s="5" t="s">
        <v>99</v>
      </c>
      <c r="M96" s="5" t="s">
        <v>341</v>
      </c>
      <c r="N96" s="5" t="s">
        <v>342</v>
      </c>
      <c r="O96" s="5">
        <v>1.609</v>
      </c>
      <c r="P96" s="91"/>
      <c r="Q96" s="91"/>
      <c r="R96" s="287">
        <v>0.10106999999999999</v>
      </c>
      <c r="S96" s="91"/>
      <c r="T96" s="287">
        <v>2.6079999999999999E-2</v>
      </c>
      <c r="U96" s="91"/>
      <c r="V96" s="99">
        <f t="shared" si="2"/>
        <v>0.12714999999999999</v>
      </c>
      <c r="W96" s="34"/>
      <c r="X96" s="34"/>
      <c r="Y96" s="34"/>
      <c r="Z96" s="34"/>
      <c r="AA96" s="34"/>
      <c r="AB96" s="34"/>
      <c r="AC96" s="34"/>
      <c r="AD96" s="34"/>
      <c r="AE96" s="34"/>
      <c r="AF96" s="34"/>
      <c r="AG96" s="34"/>
      <c r="AH96" s="34"/>
      <c r="AI96" s="34"/>
      <c r="AJ96" s="34"/>
      <c r="AK96" s="34"/>
      <c r="AL96" s="34"/>
      <c r="AM96" s="34"/>
      <c r="AN96" s="34" t="s">
        <v>296</v>
      </c>
      <c r="AO96" s="34" t="s">
        <v>296</v>
      </c>
      <c r="AP96" s="34"/>
      <c r="AQ96" s="34"/>
      <c r="AR96" s="34"/>
      <c r="AS96" s="34"/>
      <c r="AT96" s="34"/>
      <c r="AU96" s="34"/>
      <c r="AV96" s="34"/>
      <c r="AW96" s="34"/>
      <c r="AX96" s="34"/>
      <c r="AY96" s="34"/>
      <c r="AZ96" s="34"/>
      <c r="BA96" s="5"/>
    </row>
    <row r="97" spans="1:53" ht="15" thickBot="1" x14ac:dyDescent="0.4">
      <c r="A97" s="24" t="s">
        <v>297</v>
      </c>
      <c r="B97" s="24" t="s">
        <v>297</v>
      </c>
      <c r="C97" s="24" t="s">
        <v>297</v>
      </c>
      <c r="D97" s="24" t="s">
        <v>297</v>
      </c>
      <c r="E97" s="24" t="s">
        <v>297</v>
      </c>
      <c r="F97" s="24" t="s">
        <v>296</v>
      </c>
      <c r="G97" s="24" t="s">
        <v>296</v>
      </c>
      <c r="H97" s="24" t="s">
        <v>297</v>
      </c>
      <c r="I97" s="24" t="s">
        <v>297</v>
      </c>
      <c r="J97" s="5" t="s">
        <v>97</v>
      </c>
      <c r="K97" s="5" t="s">
        <v>357</v>
      </c>
      <c r="L97" s="5" t="s">
        <v>99</v>
      </c>
      <c r="M97" s="5" t="s">
        <v>341</v>
      </c>
      <c r="N97" s="5" t="s">
        <v>342</v>
      </c>
      <c r="O97" s="5">
        <v>1.609</v>
      </c>
      <c r="P97" s="91"/>
      <c r="Q97" s="91"/>
      <c r="R97" s="287">
        <v>0.13252</v>
      </c>
      <c r="S97" s="91"/>
      <c r="T97" s="287">
        <v>3.4689999999999999E-2</v>
      </c>
      <c r="U97" s="91"/>
      <c r="V97" s="99">
        <f t="shared" si="2"/>
        <v>0.16721</v>
      </c>
      <c r="W97" s="34"/>
      <c r="X97" s="34"/>
      <c r="Y97" s="34"/>
      <c r="Z97" s="34"/>
      <c r="AA97" s="34"/>
      <c r="AB97" s="34"/>
      <c r="AC97" s="34"/>
      <c r="AD97" s="34"/>
      <c r="AE97" s="34"/>
      <c r="AF97" s="34"/>
      <c r="AG97" s="34"/>
      <c r="AH97" s="34"/>
      <c r="AI97" s="34"/>
      <c r="AJ97" s="34"/>
      <c r="AK97" s="34"/>
      <c r="AL97" s="34"/>
      <c r="AM97" s="34"/>
      <c r="AN97" s="34" t="s">
        <v>296</v>
      </c>
      <c r="AO97" s="34" t="s">
        <v>296</v>
      </c>
      <c r="AP97" s="34"/>
      <c r="AQ97" s="34"/>
      <c r="AR97" s="34"/>
      <c r="AS97" s="34"/>
      <c r="AT97" s="34"/>
      <c r="AU97" s="34"/>
      <c r="AV97" s="34"/>
      <c r="AW97" s="34"/>
      <c r="AX97" s="34"/>
      <c r="AY97" s="34"/>
      <c r="AZ97" s="34"/>
      <c r="BA97" s="5"/>
    </row>
    <row r="98" spans="1:53" ht="15" thickBot="1" x14ac:dyDescent="0.4">
      <c r="A98" s="24" t="s">
        <v>297</v>
      </c>
      <c r="B98" s="24" t="s">
        <v>297</v>
      </c>
      <c r="C98" s="24" t="s">
        <v>297</v>
      </c>
      <c r="D98" s="24" t="s">
        <v>297</v>
      </c>
      <c r="E98" s="24" t="s">
        <v>297</v>
      </c>
      <c r="F98" s="24" t="s">
        <v>296</v>
      </c>
      <c r="G98" s="24" t="s">
        <v>296</v>
      </c>
      <c r="H98" s="24" t="s">
        <v>297</v>
      </c>
      <c r="I98" s="24" t="s">
        <v>297</v>
      </c>
      <c r="J98" s="5" t="s">
        <v>97</v>
      </c>
      <c r="K98" s="5" t="s">
        <v>98</v>
      </c>
      <c r="L98" s="5" t="s">
        <v>99</v>
      </c>
      <c r="M98" s="5" t="s">
        <v>341</v>
      </c>
      <c r="N98" s="5" t="s">
        <v>342</v>
      </c>
      <c r="O98" s="5">
        <v>1.609</v>
      </c>
      <c r="P98" s="91"/>
      <c r="Q98" s="91"/>
      <c r="R98" s="287">
        <v>0.11366999999999999</v>
      </c>
      <c r="S98" s="91"/>
      <c r="T98" s="287">
        <v>2.9559999999999999E-2</v>
      </c>
      <c r="U98" s="91"/>
      <c r="V98" s="99">
        <f t="shared" si="2"/>
        <v>0.14323</v>
      </c>
      <c r="W98" s="34"/>
      <c r="X98" s="34"/>
      <c r="Y98" s="34"/>
      <c r="Z98" s="34"/>
      <c r="AA98" s="34"/>
      <c r="AB98" s="34"/>
      <c r="AC98" s="34"/>
      <c r="AD98" s="34"/>
      <c r="AE98" s="34"/>
      <c r="AF98" s="34"/>
      <c r="AG98" s="34"/>
      <c r="AH98" s="34"/>
      <c r="AI98" s="34"/>
      <c r="AJ98" s="34"/>
      <c r="AK98" s="34"/>
      <c r="AL98" s="34"/>
      <c r="AM98" s="34"/>
      <c r="AN98" s="34" t="s">
        <v>296</v>
      </c>
      <c r="AO98" s="34" t="s">
        <v>296</v>
      </c>
      <c r="AP98" s="34"/>
      <c r="AQ98" s="34"/>
      <c r="AR98" s="34"/>
      <c r="AS98" s="34"/>
      <c r="AT98" s="34"/>
      <c r="AU98" s="34"/>
      <c r="AV98" s="34"/>
      <c r="AW98" s="34"/>
      <c r="AX98" s="34"/>
      <c r="AY98" s="34"/>
      <c r="AZ98" s="34"/>
      <c r="BA98" s="5"/>
    </row>
    <row r="99" spans="1:53" ht="26.5" thickBot="1" x14ac:dyDescent="0.4">
      <c r="A99" s="24" t="s">
        <v>297</v>
      </c>
      <c r="B99" s="24" t="s">
        <v>297</v>
      </c>
      <c r="C99" s="24" t="s">
        <v>297</v>
      </c>
      <c r="D99" s="24" t="s">
        <v>297</v>
      </c>
      <c r="E99" s="24" t="s">
        <v>297</v>
      </c>
      <c r="F99" s="24" t="s">
        <v>296</v>
      </c>
      <c r="G99" s="24" t="s">
        <v>296</v>
      </c>
      <c r="H99" s="24" t="s">
        <v>297</v>
      </c>
      <c r="I99" s="24" t="s">
        <v>297</v>
      </c>
      <c r="J99" s="5" t="s">
        <v>359</v>
      </c>
      <c r="K99" s="5" t="s">
        <v>360</v>
      </c>
      <c r="L99" s="5" t="s">
        <v>361</v>
      </c>
      <c r="M99" s="5" t="s">
        <v>362</v>
      </c>
      <c r="N99" s="5" t="s">
        <v>363</v>
      </c>
      <c r="O99" s="5">
        <v>1.609</v>
      </c>
      <c r="P99" s="91"/>
      <c r="Q99" s="91"/>
      <c r="R99" s="287">
        <v>0.20805000000000001</v>
      </c>
      <c r="S99" s="91"/>
      <c r="T99" s="287">
        <v>5.176E-2</v>
      </c>
      <c r="U99" s="91"/>
      <c r="V99" s="99">
        <f t="shared" ref="V99:V116" si="3">SUM(P99:U99)</f>
        <v>0.25980999999999999</v>
      </c>
      <c r="W99" s="34"/>
      <c r="X99" s="34"/>
      <c r="Y99" s="34"/>
      <c r="Z99" s="34"/>
      <c r="AA99" s="34"/>
      <c r="AB99" s="34"/>
      <c r="AC99" s="34"/>
      <c r="AD99" s="34"/>
      <c r="AE99" s="34"/>
      <c r="AF99" s="34"/>
      <c r="AG99" s="34"/>
      <c r="AH99" s="34"/>
      <c r="AI99" s="34"/>
      <c r="AJ99" s="34"/>
      <c r="AK99" s="34"/>
      <c r="AL99" s="34"/>
      <c r="AM99" s="34"/>
      <c r="AN99" s="34" t="s">
        <v>296</v>
      </c>
      <c r="AO99" s="34" t="s">
        <v>296</v>
      </c>
      <c r="AP99" s="34"/>
      <c r="AQ99" s="34"/>
      <c r="AR99" s="34"/>
      <c r="AS99" s="34"/>
      <c r="AT99" s="34"/>
      <c r="AU99" s="34"/>
      <c r="AV99" s="34"/>
      <c r="AW99" s="34"/>
      <c r="AX99" s="34"/>
      <c r="AY99" s="34"/>
      <c r="AZ99" s="34"/>
      <c r="BA99" s="5"/>
    </row>
    <row r="100" spans="1:53" ht="26.5" thickBot="1" x14ac:dyDescent="0.4">
      <c r="A100" s="24" t="s">
        <v>297</v>
      </c>
      <c r="B100" s="24" t="s">
        <v>297</v>
      </c>
      <c r="C100" s="24" t="s">
        <v>297</v>
      </c>
      <c r="D100" s="24" t="s">
        <v>297</v>
      </c>
      <c r="E100" s="24" t="s">
        <v>297</v>
      </c>
      <c r="F100" s="24" t="s">
        <v>296</v>
      </c>
      <c r="G100" s="24" t="s">
        <v>296</v>
      </c>
      <c r="H100" s="24" t="s">
        <v>297</v>
      </c>
      <c r="I100" s="24" t="s">
        <v>297</v>
      </c>
      <c r="J100" s="5" t="s">
        <v>359</v>
      </c>
      <c r="K100" s="5" t="s">
        <v>360</v>
      </c>
      <c r="L100" s="5" t="s">
        <v>364</v>
      </c>
      <c r="M100" s="5" t="s">
        <v>362</v>
      </c>
      <c r="N100" s="5" t="s">
        <v>363</v>
      </c>
      <c r="O100" s="5">
        <v>1.609</v>
      </c>
      <c r="P100" s="91"/>
      <c r="Q100" s="91"/>
      <c r="R100" s="287">
        <v>0.30603000000000002</v>
      </c>
      <c r="S100" s="91"/>
      <c r="T100" s="287">
        <v>7.6340000000000005E-2</v>
      </c>
      <c r="U100" s="91"/>
      <c r="V100" s="99">
        <f t="shared" si="3"/>
        <v>0.38237000000000004</v>
      </c>
      <c r="W100" s="34"/>
      <c r="X100" s="34"/>
      <c r="Y100" s="34"/>
      <c r="Z100" s="34"/>
      <c r="AA100" s="34"/>
      <c r="AB100" s="34"/>
      <c r="AC100" s="34"/>
      <c r="AD100" s="34"/>
      <c r="AE100" s="34"/>
      <c r="AF100" s="34"/>
      <c r="AG100" s="34"/>
      <c r="AH100" s="34"/>
      <c r="AI100" s="34"/>
      <c r="AJ100" s="34"/>
      <c r="AK100" s="34"/>
      <c r="AL100" s="34"/>
      <c r="AM100" s="34"/>
      <c r="AN100" s="34" t="s">
        <v>296</v>
      </c>
      <c r="AO100" s="34" t="s">
        <v>296</v>
      </c>
      <c r="AP100" s="34"/>
      <c r="AQ100" s="34"/>
      <c r="AR100" s="34"/>
      <c r="AS100" s="34"/>
      <c r="AT100" s="34"/>
      <c r="AU100" s="34"/>
      <c r="AV100" s="34"/>
      <c r="AW100" s="34"/>
      <c r="AX100" s="34"/>
      <c r="AY100" s="34"/>
      <c r="AZ100" s="34"/>
      <c r="BA100" s="5"/>
    </row>
    <row r="101" spans="1:53" ht="26.5" thickBot="1" x14ac:dyDescent="0.4">
      <c r="A101" s="24" t="s">
        <v>297</v>
      </c>
      <c r="B101" s="24" t="s">
        <v>297</v>
      </c>
      <c r="C101" s="24" t="s">
        <v>297</v>
      </c>
      <c r="D101" s="24" t="s">
        <v>297</v>
      </c>
      <c r="E101" s="24" t="s">
        <v>297</v>
      </c>
      <c r="F101" s="24" t="s">
        <v>296</v>
      </c>
      <c r="G101" s="24" t="s">
        <v>296</v>
      </c>
      <c r="H101" s="24" t="s">
        <v>297</v>
      </c>
      <c r="I101" s="24" t="s">
        <v>297</v>
      </c>
      <c r="J101" s="5" t="s">
        <v>359</v>
      </c>
      <c r="K101" s="5" t="s">
        <v>365</v>
      </c>
      <c r="L101" s="5" t="s">
        <v>366</v>
      </c>
      <c r="M101" s="5" t="s">
        <v>362</v>
      </c>
      <c r="N101" s="5" t="s">
        <v>363</v>
      </c>
      <c r="O101" s="5">
        <v>1.609</v>
      </c>
      <c r="P101" s="91"/>
      <c r="Q101" s="91"/>
      <c r="R101" s="287">
        <v>0.10846</v>
      </c>
      <c r="S101" s="91"/>
      <c r="T101" s="287">
        <v>2.649E-2</v>
      </c>
      <c r="U101" s="91"/>
      <c r="V101" s="99">
        <f t="shared" si="3"/>
        <v>0.13495000000000001</v>
      </c>
      <c r="W101" s="34"/>
      <c r="X101" s="34"/>
      <c r="Y101" s="34"/>
      <c r="Z101" s="34"/>
      <c r="AA101" s="34"/>
      <c r="AB101" s="34"/>
      <c r="AC101" s="34"/>
      <c r="AD101" s="34"/>
      <c r="AE101" s="34"/>
      <c r="AF101" s="34"/>
      <c r="AG101" s="34"/>
      <c r="AH101" s="34"/>
      <c r="AI101" s="34"/>
      <c r="AJ101" s="34"/>
      <c r="AK101" s="34"/>
      <c r="AL101" s="34"/>
      <c r="AM101" s="34"/>
      <c r="AN101" s="34" t="s">
        <v>296</v>
      </c>
      <c r="AO101" s="34" t="s">
        <v>296</v>
      </c>
      <c r="AP101" s="34"/>
      <c r="AQ101" s="34"/>
      <c r="AR101" s="34"/>
      <c r="AS101" s="34"/>
      <c r="AT101" s="34"/>
      <c r="AU101" s="34"/>
      <c r="AV101" s="34"/>
      <c r="AW101" s="34"/>
      <c r="AX101" s="34"/>
      <c r="AY101" s="34"/>
      <c r="AZ101" s="34"/>
      <c r="BA101" s="5"/>
    </row>
    <row r="102" spans="1:53" ht="26.5" thickBot="1" x14ac:dyDescent="0.4">
      <c r="A102" s="24" t="s">
        <v>297</v>
      </c>
      <c r="B102" s="24" t="s">
        <v>297</v>
      </c>
      <c r="C102" s="24" t="s">
        <v>297</v>
      </c>
      <c r="D102" s="24" t="s">
        <v>297</v>
      </c>
      <c r="E102" s="24" t="s">
        <v>297</v>
      </c>
      <c r="F102" s="24" t="s">
        <v>296</v>
      </c>
      <c r="G102" s="24" t="s">
        <v>296</v>
      </c>
      <c r="H102" s="24" t="s">
        <v>297</v>
      </c>
      <c r="I102" s="24" t="s">
        <v>297</v>
      </c>
      <c r="J102" s="5" t="s">
        <v>359</v>
      </c>
      <c r="K102" s="5" t="s">
        <v>365</v>
      </c>
      <c r="L102" s="5" t="s">
        <v>367</v>
      </c>
      <c r="M102" s="5" t="s">
        <v>362</v>
      </c>
      <c r="N102" s="5" t="s">
        <v>363</v>
      </c>
      <c r="O102" s="5">
        <v>1.609</v>
      </c>
      <c r="P102" s="91"/>
      <c r="Q102" s="91"/>
      <c r="R102" s="287">
        <v>2.717E-2</v>
      </c>
      <c r="S102" s="91"/>
      <c r="T102" s="287">
        <v>6.5599999999999999E-3</v>
      </c>
      <c r="U102" s="91"/>
      <c r="V102" s="99">
        <f t="shared" si="3"/>
        <v>3.3729999999999996E-2</v>
      </c>
      <c r="W102" s="34"/>
      <c r="X102" s="34"/>
      <c r="Y102" s="34"/>
      <c r="Z102" s="34"/>
      <c r="AA102" s="34"/>
      <c r="AB102" s="34"/>
      <c r="AC102" s="34"/>
      <c r="AD102" s="34"/>
      <c r="AE102" s="34"/>
      <c r="AF102" s="34"/>
      <c r="AG102" s="34"/>
      <c r="AH102" s="34"/>
      <c r="AI102" s="34"/>
      <c r="AJ102" s="34"/>
      <c r="AK102" s="34"/>
      <c r="AL102" s="34"/>
      <c r="AM102" s="34"/>
      <c r="AN102" s="34" t="s">
        <v>296</v>
      </c>
      <c r="AO102" s="34" t="s">
        <v>296</v>
      </c>
      <c r="AP102" s="34"/>
      <c r="AQ102" s="34"/>
      <c r="AR102" s="34"/>
      <c r="AS102" s="34"/>
      <c r="AT102" s="34"/>
      <c r="AU102" s="34"/>
      <c r="AV102" s="34"/>
      <c r="AW102" s="34"/>
      <c r="AX102" s="34"/>
      <c r="AY102" s="34"/>
      <c r="AZ102" s="34"/>
      <c r="BA102" s="5"/>
    </row>
    <row r="103" spans="1:53" ht="26.5" thickBot="1" x14ac:dyDescent="0.4">
      <c r="A103" s="24" t="s">
        <v>297</v>
      </c>
      <c r="B103" s="24" t="s">
        <v>297</v>
      </c>
      <c r="C103" s="24" t="s">
        <v>297</v>
      </c>
      <c r="D103" s="24" t="s">
        <v>297</v>
      </c>
      <c r="E103" s="24" t="s">
        <v>297</v>
      </c>
      <c r="F103" s="24" t="s">
        <v>296</v>
      </c>
      <c r="G103" s="24" t="s">
        <v>296</v>
      </c>
      <c r="H103" s="24" t="s">
        <v>297</v>
      </c>
      <c r="I103" s="24" t="s">
        <v>297</v>
      </c>
      <c r="J103" s="5" t="s">
        <v>359</v>
      </c>
      <c r="K103" s="5" t="s">
        <v>368</v>
      </c>
      <c r="L103" s="5" t="s">
        <v>369</v>
      </c>
      <c r="M103" s="5" t="s">
        <v>362</v>
      </c>
      <c r="N103" s="5" t="s">
        <v>363</v>
      </c>
      <c r="O103" s="5">
        <v>1.609</v>
      </c>
      <c r="P103" s="91"/>
      <c r="Q103" s="91"/>
      <c r="R103" s="287">
        <v>3.5459999999999998E-2</v>
      </c>
      <c r="S103" s="91"/>
      <c r="T103" s="287">
        <v>8.9700000000000005E-3</v>
      </c>
      <c r="U103" s="91"/>
      <c r="V103" s="99">
        <f t="shared" si="3"/>
        <v>4.4429999999999997E-2</v>
      </c>
      <c r="W103" s="34"/>
      <c r="X103" s="34"/>
      <c r="Y103" s="34"/>
      <c r="Z103" s="34"/>
      <c r="AA103" s="34"/>
      <c r="AB103" s="34"/>
      <c r="AC103" s="34"/>
      <c r="AD103" s="34"/>
      <c r="AE103" s="34"/>
      <c r="AF103" s="34"/>
      <c r="AG103" s="34"/>
      <c r="AH103" s="34"/>
      <c r="AI103" s="34"/>
      <c r="AJ103" s="34"/>
      <c r="AK103" s="34"/>
      <c r="AL103" s="34"/>
      <c r="AM103" s="34"/>
      <c r="AN103" s="34" t="s">
        <v>296</v>
      </c>
      <c r="AO103" s="34" t="s">
        <v>296</v>
      </c>
      <c r="AP103" s="34"/>
      <c r="AQ103" s="34"/>
      <c r="AR103" s="34"/>
      <c r="AS103" s="34"/>
      <c r="AT103" s="34"/>
      <c r="AU103" s="34"/>
      <c r="AV103" s="34"/>
      <c r="AW103" s="34"/>
      <c r="AX103" s="34"/>
      <c r="AY103" s="34"/>
      <c r="AZ103" s="34"/>
      <c r="BA103" s="5"/>
    </row>
    <row r="104" spans="1:53" ht="26.5" thickBot="1" x14ac:dyDescent="0.4">
      <c r="A104" s="24" t="s">
        <v>297</v>
      </c>
      <c r="B104" s="24" t="s">
        <v>297</v>
      </c>
      <c r="C104" s="24" t="s">
        <v>297</v>
      </c>
      <c r="D104" s="24" t="s">
        <v>297</v>
      </c>
      <c r="E104" s="24" t="s">
        <v>297</v>
      </c>
      <c r="F104" s="24" t="s">
        <v>296</v>
      </c>
      <c r="G104" s="24" t="s">
        <v>296</v>
      </c>
      <c r="H104" s="24" t="s">
        <v>297</v>
      </c>
      <c r="I104" s="24" t="s">
        <v>297</v>
      </c>
      <c r="J104" s="5" t="s">
        <v>359</v>
      </c>
      <c r="K104" s="5" t="s">
        <v>368</v>
      </c>
      <c r="L104" s="5" t="s">
        <v>370</v>
      </c>
      <c r="M104" s="5" t="s">
        <v>362</v>
      </c>
      <c r="N104" s="5" t="s">
        <v>363</v>
      </c>
      <c r="O104" s="5">
        <v>1.609</v>
      </c>
      <c r="P104" s="91"/>
      <c r="Q104" s="91"/>
      <c r="R104" s="287">
        <v>4.4600000000000004E-3</v>
      </c>
      <c r="S104" s="91"/>
      <c r="T104" s="287">
        <v>1.17E-3</v>
      </c>
      <c r="U104" s="91"/>
      <c r="V104" s="99">
        <f t="shared" si="3"/>
        <v>5.6300000000000005E-3</v>
      </c>
      <c r="W104" s="34"/>
      <c r="X104" s="34"/>
      <c r="Y104" s="34"/>
      <c r="Z104" s="34"/>
      <c r="AA104" s="34"/>
      <c r="AB104" s="34"/>
      <c r="AC104" s="34"/>
      <c r="AD104" s="34"/>
      <c r="AE104" s="34"/>
      <c r="AF104" s="34"/>
      <c r="AG104" s="34"/>
      <c r="AH104" s="34"/>
      <c r="AI104" s="34"/>
      <c r="AJ104" s="34"/>
      <c r="AK104" s="34"/>
      <c r="AL104" s="34"/>
      <c r="AM104" s="34"/>
      <c r="AN104" s="34" t="s">
        <v>296</v>
      </c>
      <c r="AO104" s="34" t="s">
        <v>296</v>
      </c>
      <c r="AP104" s="34"/>
      <c r="AQ104" s="34"/>
      <c r="AR104" s="34"/>
      <c r="AS104" s="34"/>
      <c r="AT104" s="34"/>
      <c r="AU104" s="34"/>
      <c r="AV104" s="34"/>
      <c r="AW104" s="34"/>
      <c r="AX104" s="34"/>
      <c r="AY104" s="34"/>
      <c r="AZ104" s="34"/>
      <c r="BA104" s="5"/>
    </row>
    <row r="105" spans="1:53" ht="26.5" thickBot="1" x14ac:dyDescent="0.4">
      <c r="A105" s="24" t="s">
        <v>297</v>
      </c>
      <c r="B105" s="24" t="s">
        <v>297</v>
      </c>
      <c r="C105" s="24" t="s">
        <v>297</v>
      </c>
      <c r="D105" s="24" t="s">
        <v>297</v>
      </c>
      <c r="E105" s="24" t="s">
        <v>297</v>
      </c>
      <c r="F105" s="24" t="s">
        <v>296</v>
      </c>
      <c r="G105" s="24" t="s">
        <v>296</v>
      </c>
      <c r="H105" s="24" t="s">
        <v>297</v>
      </c>
      <c r="I105" s="24" t="s">
        <v>297</v>
      </c>
      <c r="J105" s="5" t="s">
        <v>359</v>
      </c>
      <c r="K105" s="5" t="s">
        <v>368</v>
      </c>
      <c r="L105" s="5" t="s">
        <v>371</v>
      </c>
      <c r="M105" s="5" t="s">
        <v>362</v>
      </c>
      <c r="N105" s="5" t="s">
        <v>363</v>
      </c>
      <c r="O105" s="5">
        <v>1.609</v>
      </c>
      <c r="P105" s="91"/>
      <c r="Q105" s="91"/>
      <c r="R105" s="287">
        <v>2.86E-2</v>
      </c>
      <c r="S105" s="91"/>
      <c r="T105" s="287">
        <v>7.4900000000000001E-3</v>
      </c>
      <c r="U105" s="91"/>
      <c r="V105" s="99">
        <f t="shared" si="3"/>
        <v>3.6089999999999997E-2</v>
      </c>
      <c r="W105" s="34"/>
      <c r="X105" s="34"/>
      <c r="Y105" s="34"/>
      <c r="Z105" s="34"/>
      <c r="AA105" s="34"/>
      <c r="AB105" s="34"/>
      <c r="AC105" s="34"/>
      <c r="AD105" s="34"/>
      <c r="AE105" s="34"/>
      <c r="AF105" s="34"/>
      <c r="AG105" s="34"/>
      <c r="AH105" s="34"/>
      <c r="AI105" s="34"/>
      <c r="AJ105" s="34"/>
      <c r="AK105" s="34"/>
      <c r="AL105" s="34"/>
      <c r="AM105" s="34"/>
      <c r="AN105" s="34" t="s">
        <v>296</v>
      </c>
      <c r="AO105" s="34" t="s">
        <v>296</v>
      </c>
      <c r="AP105" s="34"/>
      <c r="AQ105" s="34"/>
      <c r="AR105" s="34"/>
      <c r="AS105" s="34"/>
      <c r="AT105" s="34"/>
      <c r="AU105" s="34"/>
      <c r="AV105" s="34"/>
      <c r="AW105" s="34"/>
      <c r="AX105" s="34"/>
      <c r="AY105" s="34"/>
      <c r="AZ105" s="34"/>
      <c r="BA105" s="5"/>
    </row>
    <row r="106" spans="1:53" ht="26.5" thickBot="1" x14ac:dyDescent="0.4">
      <c r="A106" s="24" t="s">
        <v>297</v>
      </c>
      <c r="B106" s="24" t="s">
        <v>297</v>
      </c>
      <c r="C106" s="24" t="s">
        <v>297</v>
      </c>
      <c r="D106" s="24" t="s">
        <v>297</v>
      </c>
      <c r="E106" s="24" t="s">
        <v>297</v>
      </c>
      <c r="F106" s="24" t="s">
        <v>296</v>
      </c>
      <c r="G106" s="24" t="s">
        <v>296</v>
      </c>
      <c r="H106" s="24" t="s">
        <v>297</v>
      </c>
      <c r="I106" s="24" t="s">
        <v>297</v>
      </c>
      <c r="J106" s="5" t="s">
        <v>359</v>
      </c>
      <c r="K106" s="5" t="s">
        <v>368</v>
      </c>
      <c r="L106" s="5" t="s">
        <v>372</v>
      </c>
      <c r="M106" s="5" t="s">
        <v>362</v>
      </c>
      <c r="N106" s="5" t="s">
        <v>363</v>
      </c>
      <c r="O106" s="5">
        <v>1.609</v>
      </c>
      <c r="P106" s="91"/>
      <c r="Q106" s="91"/>
      <c r="R106" s="287">
        <v>2.7799999999999998E-2</v>
      </c>
      <c r="S106" s="91"/>
      <c r="T106" s="287">
        <v>7.28E-3</v>
      </c>
      <c r="U106" s="91"/>
      <c r="V106" s="99">
        <f t="shared" si="3"/>
        <v>3.508E-2</v>
      </c>
      <c r="W106" s="34"/>
      <c r="X106" s="34"/>
      <c r="Y106" s="34"/>
      <c r="Z106" s="34"/>
      <c r="AA106" s="34"/>
      <c r="AB106" s="34"/>
      <c r="AC106" s="34"/>
      <c r="AD106" s="34"/>
      <c r="AE106" s="34"/>
      <c r="AF106" s="34"/>
      <c r="AG106" s="34"/>
      <c r="AH106" s="34"/>
      <c r="AI106" s="34"/>
      <c r="AJ106" s="34"/>
      <c r="AK106" s="34"/>
      <c r="AL106" s="34"/>
      <c r="AM106" s="34"/>
      <c r="AN106" s="34" t="s">
        <v>296</v>
      </c>
      <c r="AO106" s="34" t="s">
        <v>296</v>
      </c>
      <c r="AP106" s="34"/>
      <c r="AQ106" s="34"/>
      <c r="AR106" s="34"/>
      <c r="AS106" s="34"/>
      <c r="AT106" s="34"/>
      <c r="AU106" s="34"/>
      <c r="AV106" s="34"/>
      <c r="AW106" s="34"/>
      <c r="AX106" s="34"/>
      <c r="AY106" s="34"/>
      <c r="AZ106" s="34"/>
      <c r="BA106" s="5"/>
    </row>
    <row r="107" spans="1:53" ht="26.5" thickBot="1" x14ac:dyDescent="0.4">
      <c r="A107" s="24" t="s">
        <v>297</v>
      </c>
      <c r="B107" s="24" t="s">
        <v>297</v>
      </c>
      <c r="C107" s="24" t="s">
        <v>297</v>
      </c>
      <c r="D107" s="24" t="s">
        <v>297</v>
      </c>
      <c r="E107" s="24" t="s">
        <v>297</v>
      </c>
      <c r="F107" s="24" t="s">
        <v>296</v>
      </c>
      <c r="G107" s="24" t="s">
        <v>296</v>
      </c>
      <c r="H107" s="24" t="s">
        <v>297</v>
      </c>
      <c r="I107" s="24" t="s">
        <v>297</v>
      </c>
      <c r="J107" s="5" t="s">
        <v>359</v>
      </c>
      <c r="K107" s="5" t="s">
        <v>373</v>
      </c>
      <c r="L107" s="5" t="s">
        <v>374</v>
      </c>
      <c r="M107" s="5" t="s">
        <v>362</v>
      </c>
      <c r="N107" s="5" t="s">
        <v>363</v>
      </c>
      <c r="O107" s="5">
        <v>1.609</v>
      </c>
      <c r="P107" s="91"/>
      <c r="Q107" s="91"/>
      <c r="R107" s="287">
        <v>1.8710000000000001E-2</v>
      </c>
      <c r="S107" s="91"/>
      <c r="T107" s="287">
        <v>4.2399999999999998E-3</v>
      </c>
      <c r="U107" s="91"/>
      <c r="V107" s="99">
        <f t="shared" si="3"/>
        <v>2.2950000000000002E-2</v>
      </c>
      <c r="W107" s="34"/>
      <c r="X107" s="34"/>
      <c r="Y107" s="34"/>
      <c r="Z107" s="34"/>
      <c r="AA107" s="34"/>
      <c r="AB107" s="34"/>
      <c r="AC107" s="34"/>
      <c r="AD107" s="34"/>
      <c r="AE107" s="34"/>
      <c r="AF107" s="34"/>
      <c r="AG107" s="34"/>
      <c r="AH107" s="34"/>
      <c r="AI107" s="34"/>
      <c r="AJ107" s="34"/>
      <c r="AK107" s="34"/>
      <c r="AL107" s="34" t="s">
        <v>296</v>
      </c>
      <c r="AM107" s="34" t="s">
        <v>296</v>
      </c>
      <c r="AN107" s="34"/>
      <c r="AO107" s="34"/>
      <c r="AP107" s="34"/>
      <c r="AQ107" s="34"/>
      <c r="AR107" s="34"/>
      <c r="AS107" s="34"/>
      <c r="AT107" s="34"/>
      <c r="AU107" s="34"/>
      <c r="AV107" s="34"/>
      <c r="AW107" s="34"/>
      <c r="AX107" s="34"/>
      <c r="AY107" s="34"/>
      <c r="AZ107" s="34"/>
      <c r="BA107" s="5"/>
    </row>
    <row r="108" spans="1:53" ht="26.5" thickBot="1" x14ac:dyDescent="0.4">
      <c r="A108" s="24" t="s">
        <v>297</v>
      </c>
      <c r="B108" s="24" t="s">
        <v>297</v>
      </c>
      <c r="C108" s="24" t="s">
        <v>297</v>
      </c>
      <c r="D108" s="24" t="s">
        <v>297</v>
      </c>
      <c r="E108" s="24" t="s">
        <v>297</v>
      </c>
      <c r="F108" s="24" t="s">
        <v>296</v>
      </c>
      <c r="G108" s="24" t="s">
        <v>296</v>
      </c>
      <c r="H108" s="24" t="s">
        <v>297</v>
      </c>
      <c r="I108" s="24" t="s">
        <v>297</v>
      </c>
      <c r="J108" s="5" t="s">
        <v>359</v>
      </c>
      <c r="K108" s="5" t="s">
        <v>373</v>
      </c>
      <c r="L108" s="5" t="s">
        <v>375</v>
      </c>
      <c r="M108" s="5" t="s">
        <v>362</v>
      </c>
      <c r="N108" s="5" t="s">
        <v>363</v>
      </c>
      <c r="O108" s="5">
        <v>1.609</v>
      </c>
      <c r="P108" s="91"/>
      <c r="Q108" s="91"/>
      <c r="R108" s="287">
        <v>0.12933</v>
      </c>
      <c r="S108" s="91"/>
      <c r="T108" s="287">
        <v>2.9319999999999999E-2</v>
      </c>
      <c r="U108" s="91"/>
      <c r="V108" s="99">
        <f t="shared" si="3"/>
        <v>0.15865000000000001</v>
      </c>
      <c r="W108" s="34"/>
      <c r="X108" s="34"/>
      <c r="Y108" s="34"/>
      <c r="Z108" s="34"/>
      <c r="AA108" s="34"/>
      <c r="AB108" s="34"/>
      <c r="AC108" s="34"/>
      <c r="AD108" s="34"/>
      <c r="AE108" s="34"/>
      <c r="AF108" s="34"/>
      <c r="AG108" s="34"/>
      <c r="AH108" s="34"/>
      <c r="AI108" s="34"/>
      <c r="AJ108" s="34"/>
      <c r="AK108" s="34"/>
      <c r="AL108" s="34" t="s">
        <v>296</v>
      </c>
      <c r="AM108" s="34" t="s">
        <v>296</v>
      </c>
      <c r="AN108" s="34"/>
      <c r="AO108" s="34"/>
      <c r="AP108" s="34"/>
      <c r="AQ108" s="34"/>
      <c r="AR108" s="34"/>
      <c r="AS108" s="34"/>
      <c r="AT108" s="34"/>
      <c r="AU108" s="34"/>
      <c r="AV108" s="34"/>
      <c r="AW108" s="34"/>
      <c r="AX108" s="34"/>
      <c r="AY108" s="34"/>
      <c r="AZ108" s="34"/>
      <c r="BA108" s="5"/>
    </row>
    <row r="109" spans="1:53" ht="26.5" thickBot="1" x14ac:dyDescent="0.4">
      <c r="A109" s="24" t="s">
        <v>297</v>
      </c>
      <c r="B109" s="24" t="s">
        <v>297</v>
      </c>
      <c r="C109" s="24" t="s">
        <v>297</v>
      </c>
      <c r="D109" s="24" t="s">
        <v>297</v>
      </c>
      <c r="E109" s="24" t="s">
        <v>297</v>
      </c>
      <c r="F109" s="24" t="s">
        <v>296</v>
      </c>
      <c r="G109" s="24" t="s">
        <v>297</v>
      </c>
      <c r="H109" s="24" t="s">
        <v>297</v>
      </c>
      <c r="I109" s="24" t="s">
        <v>297</v>
      </c>
      <c r="J109" s="5" t="s">
        <v>376</v>
      </c>
      <c r="K109" s="5" t="s">
        <v>377</v>
      </c>
      <c r="L109" s="5" t="s">
        <v>98</v>
      </c>
      <c r="M109" s="5" t="s">
        <v>362</v>
      </c>
      <c r="N109" s="5" t="s">
        <v>363</v>
      </c>
      <c r="O109" s="5">
        <v>1.609</v>
      </c>
      <c r="P109" s="91"/>
      <c r="Q109" s="91"/>
      <c r="R109" s="287">
        <v>0.27256999999999998</v>
      </c>
      <c r="S109" s="91"/>
      <c r="T109" s="287">
        <v>3.3500000000000002E-2</v>
      </c>
      <c r="U109" s="91"/>
      <c r="V109" s="99">
        <f t="shared" si="3"/>
        <v>0.30606999999999995</v>
      </c>
      <c r="W109" s="34"/>
      <c r="X109" s="34"/>
      <c r="Y109" s="34"/>
      <c r="Z109" s="34"/>
      <c r="AA109" s="34"/>
      <c r="AB109" s="34"/>
      <c r="AC109" s="34"/>
      <c r="AD109" s="34"/>
      <c r="AE109" s="34"/>
      <c r="AF109" s="34"/>
      <c r="AG109" s="34"/>
      <c r="AH109" s="34"/>
      <c r="AI109" s="34"/>
      <c r="AJ109" s="34" t="s">
        <v>296</v>
      </c>
      <c r="AK109" s="34" t="s">
        <v>296</v>
      </c>
      <c r="AL109" s="34"/>
      <c r="AM109" s="34"/>
      <c r="AN109" s="34"/>
      <c r="AO109" s="34"/>
      <c r="AP109" s="34"/>
      <c r="AQ109" s="34"/>
      <c r="AR109" s="34"/>
      <c r="AS109" s="34"/>
      <c r="AT109" s="34"/>
      <c r="AU109" s="34"/>
      <c r="AV109" s="34"/>
      <c r="AW109" s="34"/>
      <c r="AX109" s="34"/>
      <c r="AY109" s="34"/>
      <c r="AZ109" s="34"/>
      <c r="BA109" s="5"/>
    </row>
    <row r="110" spans="1:53" ht="26.5" thickBot="1" x14ac:dyDescent="0.4">
      <c r="A110" s="24" t="s">
        <v>297</v>
      </c>
      <c r="B110" s="24" t="s">
        <v>297</v>
      </c>
      <c r="C110" s="24" t="s">
        <v>297</v>
      </c>
      <c r="D110" s="24" t="s">
        <v>297</v>
      </c>
      <c r="E110" s="24" t="s">
        <v>297</v>
      </c>
      <c r="F110" s="24" t="s">
        <v>296</v>
      </c>
      <c r="G110" s="24" t="s">
        <v>297</v>
      </c>
      <c r="H110" s="24" t="s">
        <v>297</v>
      </c>
      <c r="I110" s="24" t="s">
        <v>297</v>
      </c>
      <c r="J110" s="5" t="s">
        <v>376</v>
      </c>
      <c r="K110" s="5" t="s">
        <v>624</v>
      </c>
      <c r="L110" s="5" t="s">
        <v>98</v>
      </c>
      <c r="M110" s="5" t="s">
        <v>362</v>
      </c>
      <c r="N110" s="5" t="s">
        <v>363</v>
      </c>
      <c r="O110" s="5">
        <v>1.609</v>
      </c>
      <c r="P110" s="91"/>
      <c r="Q110" s="91"/>
      <c r="R110" s="287">
        <v>0.18592</v>
      </c>
      <c r="S110" s="91"/>
      <c r="T110" s="287">
        <v>2.2859999999999998E-2</v>
      </c>
      <c r="U110" s="91"/>
      <c r="V110" s="99">
        <f t="shared" si="3"/>
        <v>0.20877999999999999</v>
      </c>
      <c r="W110" s="34"/>
      <c r="X110" s="34"/>
      <c r="Y110" s="34"/>
      <c r="Z110" s="34"/>
      <c r="AA110" s="34"/>
      <c r="AB110" s="34"/>
      <c r="AC110" s="34"/>
      <c r="AD110" s="34"/>
      <c r="AE110" s="34"/>
      <c r="AF110" s="34"/>
      <c r="AG110" s="34"/>
      <c r="AH110" s="34"/>
      <c r="AI110" s="34"/>
      <c r="AJ110" s="34" t="s">
        <v>296</v>
      </c>
      <c r="AK110" s="34" t="s">
        <v>296</v>
      </c>
      <c r="AL110" s="34"/>
      <c r="AM110" s="34"/>
      <c r="AN110" s="34"/>
      <c r="AO110" s="34"/>
      <c r="AP110" s="34"/>
      <c r="AQ110" s="34"/>
      <c r="AR110" s="34"/>
      <c r="AS110" s="34"/>
      <c r="AT110" s="34"/>
      <c r="AU110" s="34"/>
      <c r="AV110" s="34"/>
      <c r="AW110" s="34"/>
      <c r="AX110" s="34"/>
      <c r="AY110" s="34"/>
      <c r="AZ110" s="34"/>
      <c r="BA110" s="5"/>
    </row>
    <row r="111" spans="1:53" ht="26.5" thickBot="1" x14ac:dyDescent="0.4">
      <c r="A111" s="24" t="s">
        <v>297</v>
      </c>
      <c r="B111" s="24" t="s">
        <v>297</v>
      </c>
      <c r="C111" s="24" t="s">
        <v>297</v>
      </c>
      <c r="D111" s="24" t="s">
        <v>297</v>
      </c>
      <c r="E111" s="24" t="s">
        <v>297</v>
      </c>
      <c r="F111" s="24" t="s">
        <v>296</v>
      </c>
      <c r="G111" s="24" t="s">
        <v>297</v>
      </c>
      <c r="H111" s="24" t="s">
        <v>297</v>
      </c>
      <c r="I111" s="24" t="s">
        <v>297</v>
      </c>
      <c r="J111" s="5" t="s">
        <v>376</v>
      </c>
      <c r="K111" s="5" t="s">
        <v>624</v>
      </c>
      <c r="L111" s="5" t="s">
        <v>378</v>
      </c>
      <c r="M111" s="5" t="s">
        <v>362</v>
      </c>
      <c r="N111" s="5" t="s">
        <v>363</v>
      </c>
      <c r="O111" s="5">
        <v>1.609</v>
      </c>
      <c r="P111" s="91"/>
      <c r="Q111" s="91"/>
      <c r="R111" s="287">
        <v>0.18287</v>
      </c>
      <c r="S111" s="91"/>
      <c r="T111" s="287">
        <v>2.249E-2</v>
      </c>
      <c r="U111" s="91"/>
      <c r="V111" s="99">
        <f t="shared" si="3"/>
        <v>0.20536000000000001</v>
      </c>
      <c r="W111" s="34"/>
      <c r="X111" s="34"/>
      <c r="Y111" s="34"/>
      <c r="Z111" s="34"/>
      <c r="AA111" s="34"/>
      <c r="AB111" s="34"/>
      <c r="AC111" s="34"/>
      <c r="AD111" s="34"/>
      <c r="AE111" s="34"/>
      <c r="AF111" s="34"/>
      <c r="AG111" s="34"/>
      <c r="AH111" s="34"/>
      <c r="AI111" s="34"/>
      <c r="AJ111" s="34" t="s">
        <v>296</v>
      </c>
      <c r="AK111" s="34" t="s">
        <v>296</v>
      </c>
      <c r="AL111" s="34"/>
      <c r="AM111" s="34"/>
      <c r="AN111" s="34"/>
      <c r="AO111" s="34"/>
      <c r="AP111" s="34"/>
      <c r="AQ111" s="34"/>
      <c r="AR111" s="34"/>
      <c r="AS111" s="34"/>
      <c r="AT111" s="34"/>
      <c r="AU111" s="34"/>
      <c r="AV111" s="34"/>
      <c r="AW111" s="34"/>
      <c r="AX111" s="34"/>
      <c r="AY111" s="34"/>
      <c r="AZ111" s="34"/>
      <c r="BA111" s="5"/>
    </row>
    <row r="112" spans="1:53" ht="26.5" thickBot="1" x14ac:dyDescent="0.4">
      <c r="A112" s="24" t="s">
        <v>297</v>
      </c>
      <c r="B112" s="24" t="s">
        <v>297</v>
      </c>
      <c r="C112" s="24" t="s">
        <v>297</v>
      </c>
      <c r="D112" s="24" t="s">
        <v>297</v>
      </c>
      <c r="E112" s="24" t="s">
        <v>297</v>
      </c>
      <c r="F112" s="24" t="s">
        <v>296</v>
      </c>
      <c r="G112" s="24" t="s">
        <v>297</v>
      </c>
      <c r="H112" s="24" t="s">
        <v>297</v>
      </c>
      <c r="I112" s="24" t="s">
        <v>297</v>
      </c>
      <c r="J112" s="5" t="s">
        <v>376</v>
      </c>
      <c r="K112" s="5" t="s">
        <v>624</v>
      </c>
      <c r="L112" s="5" t="s">
        <v>379</v>
      </c>
      <c r="M112" s="5" t="s">
        <v>362</v>
      </c>
      <c r="N112" s="5" t="s">
        <v>363</v>
      </c>
      <c r="O112" s="5">
        <v>1.609</v>
      </c>
      <c r="P112" s="91"/>
      <c r="Q112" s="91"/>
      <c r="R112" s="287">
        <v>0.27429999999999999</v>
      </c>
      <c r="S112" s="91"/>
      <c r="T112" s="287">
        <v>3.3730000000000003E-2</v>
      </c>
      <c r="U112" s="91"/>
      <c r="V112" s="99">
        <f t="shared" si="3"/>
        <v>0.30802999999999997</v>
      </c>
      <c r="W112" s="34"/>
      <c r="X112" s="34"/>
      <c r="Y112" s="34"/>
      <c r="Z112" s="34"/>
      <c r="AA112" s="34"/>
      <c r="AB112" s="34"/>
      <c r="AC112" s="34"/>
      <c r="AD112" s="34"/>
      <c r="AE112" s="34"/>
      <c r="AF112" s="34"/>
      <c r="AG112" s="34"/>
      <c r="AH112" s="34"/>
      <c r="AI112" s="34"/>
      <c r="AJ112" s="34" t="s">
        <v>296</v>
      </c>
      <c r="AK112" s="34" t="s">
        <v>296</v>
      </c>
      <c r="AL112" s="34"/>
      <c r="AM112" s="34"/>
      <c r="AN112" s="34"/>
      <c r="AO112" s="34"/>
      <c r="AP112" s="34"/>
      <c r="AQ112" s="34"/>
      <c r="AR112" s="34"/>
      <c r="AS112" s="34"/>
      <c r="AT112" s="34"/>
      <c r="AU112" s="34"/>
      <c r="AV112" s="34"/>
      <c r="AW112" s="34"/>
      <c r="AX112" s="34"/>
      <c r="AY112" s="34"/>
      <c r="AZ112" s="34"/>
      <c r="BA112" s="5"/>
    </row>
    <row r="113" spans="1:53" ht="26.5" thickBot="1" x14ac:dyDescent="0.4">
      <c r="A113" s="24" t="s">
        <v>297</v>
      </c>
      <c r="B113" s="24" t="s">
        <v>297</v>
      </c>
      <c r="C113" s="24" t="s">
        <v>297</v>
      </c>
      <c r="D113" s="24" t="s">
        <v>297</v>
      </c>
      <c r="E113" s="24" t="s">
        <v>297</v>
      </c>
      <c r="F113" s="24" t="s">
        <v>296</v>
      </c>
      <c r="G113" s="24" t="s">
        <v>297</v>
      </c>
      <c r="H113" s="24" t="s">
        <v>297</v>
      </c>
      <c r="I113" s="24" t="s">
        <v>297</v>
      </c>
      <c r="J113" s="5" t="s">
        <v>376</v>
      </c>
      <c r="K113" s="5" t="s">
        <v>627</v>
      </c>
      <c r="L113" s="5" t="s">
        <v>98</v>
      </c>
      <c r="M113" s="5" t="s">
        <v>362</v>
      </c>
      <c r="N113" s="5" t="s">
        <v>363</v>
      </c>
      <c r="O113" s="5">
        <v>1.609</v>
      </c>
      <c r="P113" s="91"/>
      <c r="Q113" s="91"/>
      <c r="R113" s="287">
        <v>0.26128000000000001</v>
      </c>
      <c r="S113" s="91"/>
      <c r="T113" s="287">
        <v>3.2129999999999999E-2</v>
      </c>
      <c r="U113" s="91"/>
      <c r="V113" s="99">
        <f t="shared" si="3"/>
        <v>0.29341</v>
      </c>
      <c r="W113" s="34"/>
      <c r="X113" s="34"/>
      <c r="Y113" s="34"/>
      <c r="Z113" s="34"/>
      <c r="AA113" s="34"/>
      <c r="AB113" s="34"/>
      <c r="AC113" s="34"/>
      <c r="AD113" s="34"/>
      <c r="AE113" s="34"/>
      <c r="AF113" s="34"/>
      <c r="AG113" s="34"/>
      <c r="AH113" s="34"/>
      <c r="AI113" s="34"/>
      <c r="AJ113" s="34" t="s">
        <v>296</v>
      </c>
      <c r="AK113" s="34" t="s">
        <v>296</v>
      </c>
      <c r="AL113" s="34"/>
      <c r="AM113" s="34"/>
      <c r="AN113" s="34"/>
      <c r="AO113" s="34"/>
      <c r="AP113" s="34"/>
      <c r="AQ113" s="34"/>
      <c r="AR113" s="34"/>
      <c r="AS113" s="34"/>
      <c r="AT113" s="34"/>
      <c r="AU113" s="34"/>
      <c r="AV113" s="34"/>
      <c r="AW113" s="34"/>
      <c r="AX113" s="34"/>
      <c r="AY113" s="34"/>
      <c r="AZ113" s="34"/>
      <c r="BA113" s="5"/>
    </row>
    <row r="114" spans="1:53" ht="26.5" thickBot="1" x14ac:dyDescent="0.4">
      <c r="A114" s="24" t="s">
        <v>297</v>
      </c>
      <c r="B114" s="24" t="s">
        <v>297</v>
      </c>
      <c r="C114" s="24" t="s">
        <v>297</v>
      </c>
      <c r="D114" s="24" t="s">
        <v>297</v>
      </c>
      <c r="E114" s="24" t="s">
        <v>297</v>
      </c>
      <c r="F114" s="24" t="s">
        <v>296</v>
      </c>
      <c r="G114" s="24" t="s">
        <v>297</v>
      </c>
      <c r="H114" s="24" t="s">
        <v>297</v>
      </c>
      <c r="I114" s="24" t="s">
        <v>297</v>
      </c>
      <c r="J114" s="5" t="s">
        <v>376</v>
      </c>
      <c r="K114" s="5" t="s">
        <v>627</v>
      </c>
      <c r="L114" s="5" t="s">
        <v>378</v>
      </c>
      <c r="M114" s="5" t="s">
        <v>362</v>
      </c>
      <c r="N114" s="5" t="s">
        <v>363</v>
      </c>
      <c r="O114" s="5">
        <v>1.609</v>
      </c>
      <c r="P114" s="91"/>
      <c r="Q114" s="91"/>
      <c r="R114" s="287">
        <v>0.20011000000000001</v>
      </c>
      <c r="S114" s="91"/>
      <c r="T114" s="287">
        <v>2.461E-2</v>
      </c>
      <c r="U114" s="91"/>
      <c r="V114" s="99">
        <f t="shared" si="3"/>
        <v>0.22472</v>
      </c>
      <c r="W114" s="34"/>
      <c r="X114" s="34"/>
      <c r="Y114" s="34"/>
      <c r="Z114" s="34"/>
      <c r="AA114" s="34"/>
      <c r="AB114" s="34"/>
      <c r="AC114" s="34"/>
      <c r="AD114" s="34"/>
      <c r="AE114" s="34"/>
      <c r="AF114" s="34"/>
      <c r="AG114" s="34"/>
      <c r="AH114" s="34"/>
      <c r="AI114" s="34"/>
      <c r="AJ114" s="34" t="s">
        <v>296</v>
      </c>
      <c r="AK114" s="34" t="s">
        <v>296</v>
      </c>
      <c r="AL114" s="34"/>
      <c r="AM114" s="34"/>
      <c r="AN114" s="34"/>
      <c r="AO114" s="34"/>
      <c r="AP114" s="34"/>
      <c r="AQ114" s="34"/>
      <c r="AR114" s="34"/>
      <c r="AS114" s="34"/>
      <c r="AT114" s="34"/>
      <c r="AU114" s="34"/>
      <c r="AV114" s="34"/>
      <c r="AW114" s="34"/>
      <c r="AX114" s="34"/>
      <c r="AY114" s="34"/>
      <c r="AZ114" s="34"/>
      <c r="BA114" s="5"/>
    </row>
    <row r="115" spans="1:53" ht="26.5" thickBot="1" x14ac:dyDescent="0.4">
      <c r="A115" s="24" t="s">
        <v>297</v>
      </c>
      <c r="B115" s="24" t="s">
        <v>297</v>
      </c>
      <c r="C115" s="24" t="s">
        <v>297</v>
      </c>
      <c r="D115" s="24" t="s">
        <v>297</v>
      </c>
      <c r="E115" s="24" t="s">
        <v>297</v>
      </c>
      <c r="F115" s="24" t="s">
        <v>296</v>
      </c>
      <c r="G115" s="24" t="s">
        <v>297</v>
      </c>
      <c r="H115" s="24" t="s">
        <v>297</v>
      </c>
      <c r="I115" s="24" t="s">
        <v>297</v>
      </c>
      <c r="J115" s="5" t="s">
        <v>376</v>
      </c>
      <c r="K115" s="5" t="s">
        <v>627</v>
      </c>
      <c r="L115" s="5" t="s">
        <v>379</v>
      </c>
      <c r="M115" s="5" t="s">
        <v>362</v>
      </c>
      <c r="N115" s="5" t="s">
        <v>363</v>
      </c>
      <c r="O115" s="5">
        <v>1.609</v>
      </c>
      <c r="P115" s="91"/>
      <c r="Q115" s="91"/>
      <c r="R115" s="287">
        <v>0.58028000000000002</v>
      </c>
      <c r="S115" s="91"/>
      <c r="T115" s="287">
        <v>7.1370000000000003E-2</v>
      </c>
      <c r="U115" s="91"/>
      <c r="V115" s="99">
        <f t="shared" si="3"/>
        <v>0.65165000000000006</v>
      </c>
      <c r="W115" s="34"/>
      <c r="X115" s="34"/>
      <c r="Y115" s="34"/>
      <c r="Z115" s="34"/>
      <c r="AA115" s="34"/>
      <c r="AB115" s="34"/>
      <c r="AC115" s="34"/>
      <c r="AD115" s="34"/>
      <c r="AE115" s="34"/>
      <c r="AF115" s="34"/>
      <c r="AG115" s="34"/>
      <c r="AH115" s="34"/>
      <c r="AI115" s="34"/>
      <c r="AJ115" s="34" t="s">
        <v>296</v>
      </c>
      <c r="AK115" s="34" t="s">
        <v>296</v>
      </c>
      <c r="AL115" s="34"/>
      <c r="AM115" s="34"/>
      <c r="AN115" s="34"/>
      <c r="AO115" s="34"/>
      <c r="AP115" s="34"/>
      <c r="AQ115" s="34"/>
      <c r="AR115" s="34"/>
      <c r="AS115" s="34"/>
      <c r="AT115" s="34"/>
      <c r="AU115" s="34"/>
      <c r="AV115" s="34"/>
      <c r="AW115" s="34"/>
      <c r="AX115" s="34"/>
      <c r="AY115" s="34"/>
      <c r="AZ115" s="34"/>
      <c r="BA115" s="5"/>
    </row>
    <row r="116" spans="1:53" ht="52.5" thickBot="1" x14ac:dyDescent="0.4">
      <c r="A116" s="24" t="s">
        <v>297</v>
      </c>
      <c r="B116" s="24" t="s">
        <v>297</v>
      </c>
      <c r="C116" s="24" t="s">
        <v>297</v>
      </c>
      <c r="D116" s="24" t="s">
        <v>297</v>
      </c>
      <c r="E116" s="24" t="s">
        <v>297</v>
      </c>
      <c r="F116" s="24" t="s">
        <v>297</v>
      </c>
      <c r="G116" s="24" t="s">
        <v>297</v>
      </c>
      <c r="H116" s="24" t="s">
        <v>296</v>
      </c>
      <c r="I116" s="24" t="s">
        <v>297</v>
      </c>
      <c r="J116" s="5" t="s">
        <v>17</v>
      </c>
      <c r="K116" s="188" t="s">
        <v>380</v>
      </c>
      <c r="L116" s="5"/>
      <c r="M116" s="5" t="s">
        <v>381</v>
      </c>
      <c r="N116" s="5"/>
      <c r="O116" s="5"/>
      <c r="P116" s="91"/>
      <c r="Q116" s="91"/>
      <c r="R116" s="290">
        <v>580.77719999999999</v>
      </c>
      <c r="S116" s="91"/>
      <c r="T116" s="91"/>
      <c r="U116" s="91"/>
      <c r="V116" s="99">
        <f t="shared" si="3"/>
        <v>580.77719999999999</v>
      </c>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t="s">
        <v>296</v>
      </c>
      <c r="AU116" s="34"/>
      <c r="AV116" s="34"/>
      <c r="AW116" s="34"/>
      <c r="AX116" s="34"/>
      <c r="AY116" s="34"/>
      <c r="AZ116" s="34"/>
      <c r="BA116" s="5" t="s">
        <v>1046</v>
      </c>
    </row>
    <row r="117" spans="1:53" ht="15" thickBot="1" x14ac:dyDescent="0.4">
      <c r="A117" s="24" t="s">
        <v>297</v>
      </c>
      <c r="B117" s="24" t="s">
        <v>297</v>
      </c>
      <c r="C117" s="24" t="s">
        <v>297</v>
      </c>
      <c r="D117" s="24" t="s">
        <v>297</v>
      </c>
      <c r="E117" s="24" t="s">
        <v>296</v>
      </c>
      <c r="F117" s="24" t="s">
        <v>297</v>
      </c>
      <c r="G117" s="24" t="s">
        <v>297</v>
      </c>
      <c r="H117" s="24" t="s">
        <v>297</v>
      </c>
      <c r="I117" s="24" t="s">
        <v>297</v>
      </c>
      <c r="J117" s="5" t="s">
        <v>18</v>
      </c>
      <c r="K117" s="5" t="s">
        <v>382</v>
      </c>
      <c r="L117" s="5" t="s">
        <v>107</v>
      </c>
      <c r="M117" s="5" t="s">
        <v>105</v>
      </c>
      <c r="N117" s="5" t="s">
        <v>383</v>
      </c>
      <c r="O117" s="5">
        <v>1E-3</v>
      </c>
      <c r="P117" s="91"/>
      <c r="Q117" s="91"/>
      <c r="R117" s="287">
        <v>0.98485</v>
      </c>
      <c r="S117" s="91"/>
      <c r="T117" s="91"/>
      <c r="U117" s="91"/>
      <c r="V117" s="99">
        <f t="shared" ref="V117:V143" si="4">ROUND(SUM(P117:U117),3)</f>
        <v>0.98499999999999999</v>
      </c>
      <c r="W117" s="34"/>
      <c r="X117" s="34"/>
      <c r="Y117" s="34"/>
      <c r="Z117" s="34"/>
      <c r="AA117" s="34"/>
      <c r="AB117" s="34"/>
      <c r="AC117" s="34"/>
      <c r="AD117" s="34"/>
      <c r="AE117" s="34"/>
      <c r="AF117" s="34"/>
      <c r="AG117" s="34"/>
      <c r="AH117" s="34"/>
      <c r="AI117" s="34" t="s">
        <v>296</v>
      </c>
      <c r="AJ117" s="34"/>
      <c r="AK117" s="34"/>
      <c r="AL117" s="34"/>
      <c r="AM117" s="34"/>
      <c r="AN117" s="34"/>
      <c r="AO117" s="34"/>
      <c r="AP117" s="34"/>
      <c r="AQ117" s="34"/>
      <c r="AR117" s="34"/>
      <c r="AS117" s="34"/>
      <c r="AT117" s="34"/>
      <c r="AU117" s="34"/>
      <c r="AV117" s="34"/>
      <c r="AW117" s="34"/>
      <c r="AX117" s="34"/>
      <c r="AY117" s="34"/>
      <c r="AZ117" s="34"/>
      <c r="BA117" s="5"/>
    </row>
    <row r="118" spans="1:53" ht="15" thickBot="1" x14ac:dyDescent="0.4">
      <c r="A118" s="24" t="s">
        <v>297</v>
      </c>
      <c r="B118" s="24" t="s">
        <v>297</v>
      </c>
      <c r="C118" s="24" t="s">
        <v>297</v>
      </c>
      <c r="D118" s="24" t="s">
        <v>297</v>
      </c>
      <c r="E118" s="24" t="s">
        <v>296</v>
      </c>
      <c r="F118" s="24" t="s">
        <v>297</v>
      </c>
      <c r="G118" s="24" t="s">
        <v>297</v>
      </c>
      <c r="H118" s="24" t="s">
        <v>297</v>
      </c>
      <c r="I118" s="24" t="s">
        <v>297</v>
      </c>
      <c r="J118" s="5" t="s">
        <v>18</v>
      </c>
      <c r="K118" s="5" t="s">
        <v>382</v>
      </c>
      <c r="L118" s="5" t="s">
        <v>104</v>
      </c>
      <c r="M118" s="5" t="s">
        <v>105</v>
      </c>
      <c r="N118" s="5" t="s">
        <v>383</v>
      </c>
      <c r="O118" s="5">
        <v>1E-3</v>
      </c>
      <c r="P118" s="91"/>
      <c r="Q118" s="91"/>
      <c r="R118" s="287">
        <v>1.23393</v>
      </c>
      <c r="S118" s="91"/>
      <c r="T118" s="91"/>
      <c r="U118" s="91"/>
      <c r="V118" s="99">
        <f t="shared" si="4"/>
        <v>1.234</v>
      </c>
      <c r="W118" s="34"/>
      <c r="X118" s="34"/>
      <c r="Y118" s="34"/>
      <c r="Z118" s="34"/>
      <c r="AA118" s="34"/>
      <c r="AB118" s="34"/>
      <c r="AC118" s="34"/>
      <c r="AD118" s="34"/>
      <c r="AE118" s="34"/>
      <c r="AF118" s="34"/>
      <c r="AG118" s="34"/>
      <c r="AH118" s="34"/>
      <c r="AI118" s="34" t="s">
        <v>296</v>
      </c>
      <c r="AJ118" s="34"/>
      <c r="AK118" s="34"/>
      <c r="AL118" s="34"/>
      <c r="AM118" s="34"/>
      <c r="AN118" s="34"/>
      <c r="AO118" s="34"/>
      <c r="AP118" s="34"/>
      <c r="AQ118" s="34"/>
      <c r="AR118" s="34"/>
      <c r="AS118" s="34"/>
      <c r="AT118" s="34"/>
      <c r="AU118" s="34"/>
      <c r="AV118" s="34"/>
      <c r="AW118" s="34"/>
      <c r="AX118" s="34"/>
      <c r="AY118" s="34"/>
      <c r="AZ118" s="34"/>
      <c r="BA118" s="5"/>
    </row>
    <row r="119" spans="1:53" ht="15" thickBot="1" x14ac:dyDescent="0.4">
      <c r="A119" s="24" t="s">
        <v>297</v>
      </c>
      <c r="B119" s="24" t="s">
        <v>297</v>
      </c>
      <c r="C119" s="24" t="s">
        <v>297</v>
      </c>
      <c r="D119" s="24" t="s">
        <v>297</v>
      </c>
      <c r="E119" s="24" t="s">
        <v>296</v>
      </c>
      <c r="F119" s="24" t="s">
        <v>297</v>
      </c>
      <c r="G119" s="24" t="s">
        <v>297</v>
      </c>
      <c r="H119" s="24" t="s">
        <v>297</v>
      </c>
      <c r="I119" s="24" t="s">
        <v>297</v>
      </c>
      <c r="J119" s="5" t="s">
        <v>18</v>
      </c>
      <c r="K119" s="5" t="s">
        <v>384</v>
      </c>
      <c r="L119" s="5" t="s">
        <v>107</v>
      </c>
      <c r="M119" s="5" t="s">
        <v>105</v>
      </c>
      <c r="N119" s="5" t="s">
        <v>383</v>
      </c>
      <c r="O119" s="5">
        <v>1E-3</v>
      </c>
      <c r="P119" s="91"/>
      <c r="Q119" s="91"/>
      <c r="R119" s="287">
        <v>0.98485</v>
      </c>
      <c r="S119" s="91"/>
      <c r="T119" s="91"/>
      <c r="U119" s="91"/>
      <c r="V119" s="99">
        <f t="shared" si="4"/>
        <v>0.98499999999999999</v>
      </c>
      <c r="W119" s="34"/>
      <c r="X119" s="34"/>
      <c r="Y119" s="34"/>
      <c r="Z119" s="34"/>
      <c r="AA119" s="34"/>
      <c r="AB119" s="34"/>
      <c r="AC119" s="34"/>
      <c r="AD119" s="34"/>
      <c r="AE119" s="34"/>
      <c r="AF119" s="34"/>
      <c r="AG119" s="34"/>
      <c r="AH119" s="34"/>
      <c r="AI119" s="34" t="s">
        <v>296</v>
      </c>
      <c r="AJ119" s="34"/>
      <c r="AK119" s="34"/>
      <c r="AL119" s="34"/>
      <c r="AM119" s="34"/>
      <c r="AN119" s="34"/>
      <c r="AO119" s="34"/>
      <c r="AP119" s="34"/>
      <c r="AQ119" s="34"/>
      <c r="AR119" s="34"/>
      <c r="AS119" s="34"/>
      <c r="AT119" s="34"/>
      <c r="AU119" s="34"/>
      <c r="AV119" s="34"/>
      <c r="AW119" s="34"/>
      <c r="AX119" s="34"/>
      <c r="AY119" s="34"/>
      <c r="AZ119" s="34"/>
      <c r="BA119" s="5"/>
    </row>
    <row r="120" spans="1:53" ht="15" thickBot="1" x14ac:dyDescent="0.4">
      <c r="A120" s="24" t="s">
        <v>297</v>
      </c>
      <c r="B120" s="24" t="s">
        <v>297</v>
      </c>
      <c r="C120" s="24" t="s">
        <v>297</v>
      </c>
      <c r="D120" s="24" t="s">
        <v>297</v>
      </c>
      <c r="E120" s="24" t="s">
        <v>296</v>
      </c>
      <c r="F120" s="24" t="s">
        <v>297</v>
      </c>
      <c r="G120" s="24" t="s">
        <v>297</v>
      </c>
      <c r="H120" s="24" t="s">
        <v>297</v>
      </c>
      <c r="I120" s="24" t="s">
        <v>297</v>
      </c>
      <c r="J120" s="5" t="s">
        <v>18</v>
      </c>
      <c r="K120" s="5" t="s">
        <v>385</v>
      </c>
      <c r="L120" s="5" t="s">
        <v>104</v>
      </c>
      <c r="M120" s="5" t="s">
        <v>105</v>
      </c>
      <c r="N120" s="5" t="s">
        <v>383</v>
      </c>
      <c r="O120" s="5">
        <v>1E-3</v>
      </c>
      <c r="P120" s="91"/>
      <c r="Q120" s="91"/>
      <c r="R120" s="287">
        <v>5.9132499999999997</v>
      </c>
      <c r="S120" s="91"/>
      <c r="T120" s="91"/>
      <c r="U120" s="91"/>
      <c r="V120" s="99">
        <f t="shared" si="4"/>
        <v>5.9130000000000003</v>
      </c>
      <c r="W120" s="34"/>
      <c r="X120" s="34"/>
      <c r="Y120" s="34"/>
      <c r="Z120" s="34"/>
      <c r="AA120" s="34"/>
      <c r="AB120" s="34"/>
      <c r="AC120" s="34"/>
      <c r="AD120" s="34"/>
      <c r="AE120" s="34"/>
      <c r="AF120" s="34"/>
      <c r="AG120" s="34"/>
      <c r="AH120" s="34"/>
      <c r="AI120" s="34" t="s">
        <v>296</v>
      </c>
      <c r="AJ120" s="34"/>
      <c r="AK120" s="34"/>
      <c r="AL120" s="34"/>
      <c r="AM120" s="34"/>
      <c r="AN120" s="34"/>
      <c r="AO120" s="34"/>
      <c r="AP120" s="34"/>
      <c r="AQ120" s="34"/>
      <c r="AR120" s="34"/>
      <c r="AS120" s="34"/>
      <c r="AT120" s="34"/>
      <c r="AU120" s="34"/>
      <c r="AV120" s="34"/>
      <c r="AW120" s="34"/>
      <c r="AX120" s="34"/>
      <c r="AY120" s="34"/>
      <c r="AZ120" s="34"/>
      <c r="BA120" s="5"/>
    </row>
    <row r="121" spans="1:53" ht="15" thickBot="1" x14ac:dyDescent="0.4">
      <c r="A121" s="24" t="s">
        <v>297</v>
      </c>
      <c r="B121" s="24" t="s">
        <v>297</v>
      </c>
      <c r="C121" s="24" t="s">
        <v>297</v>
      </c>
      <c r="D121" s="24" t="s">
        <v>297</v>
      </c>
      <c r="E121" s="24" t="s">
        <v>296</v>
      </c>
      <c r="F121" s="24" t="s">
        <v>297</v>
      </c>
      <c r="G121" s="24" t="s">
        <v>297</v>
      </c>
      <c r="H121" s="24" t="s">
        <v>297</v>
      </c>
      <c r="I121" s="24" t="s">
        <v>297</v>
      </c>
      <c r="J121" s="5" t="s">
        <v>18</v>
      </c>
      <c r="K121" s="5" t="s">
        <v>386</v>
      </c>
      <c r="L121" s="5" t="s">
        <v>107</v>
      </c>
      <c r="M121" s="5" t="s">
        <v>105</v>
      </c>
      <c r="N121" s="5" t="s">
        <v>383</v>
      </c>
      <c r="O121" s="5">
        <v>1E-3</v>
      </c>
      <c r="P121" s="91"/>
      <c r="Q121" s="91"/>
      <c r="R121" s="287">
        <v>0.98485</v>
      </c>
      <c r="S121" s="91"/>
      <c r="T121" s="91"/>
      <c r="U121" s="91"/>
      <c r="V121" s="99">
        <f t="shared" si="4"/>
        <v>0.98499999999999999</v>
      </c>
      <c r="W121" s="34"/>
      <c r="X121" s="34"/>
      <c r="Y121" s="34"/>
      <c r="Z121" s="34"/>
      <c r="AA121" s="34"/>
      <c r="AB121" s="34"/>
      <c r="AC121" s="34"/>
      <c r="AD121" s="34"/>
      <c r="AE121" s="34"/>
      <c r="AF121" s="34"/>
      <c r="AG121" s="34"/>
      <c r="AH121" s="34"/>
      <c r="AI121" s="34" t="s">
        <v>296</v>
      </c>
      <c r="AJ121" s="34"/>
      <c r="AK121" s="34"/>
      <c r="AL121" s="34"/>
      <c r="AM121" s="34"/>
      <c r="AN121" s="34"/>
      <c r="AO121" s="34"/>
      <c r="AP121" s="34"/>
      <c r="AQ121" s="34"/>
      <c r="AR121" s="34"/>
      <c r="AS121" s="34"/>
      <c r="AT121" s="34"/>
      <c r="AU121" s="34"/>
      <c r="AV121" s="34"/>
      <c r="AW121" s="34"/>
      <c r="AX121" s="34"/>
      <c r="AY121" s="34"/>
      <c r="AZ121" s="34"/>
      <c r="BA121" s="5"/>
    </row>
    <row r="122" spans="1:53" ht="15" thickBot="1" x14ac:dyDescent="0.4">
      <c r="A122" s="24" t="s">
        <v>297</v>
      </c>
      <c r="B122" s="24" t="s">
        <v>297</v>
      </c>
      <c r="C122" s="24" t="s">
        <v>297</v>
      </c>
      <c r="D122" s="24" t="s">
        <v>297</v>
      </c>
      <c r="E122" s="24" t="s">
        <v>296</v>
      </c>
      <c r="F122" s="24" t="s">
        <v>297</v>
      </c>
      <c r="G122" s="24" t="s">
        <v>297</v>
      </c>
      <c r="H122" s="24" t="s">
        <v>297</v>
      </c>
      <c r="I122" s="24" t="s">
        <v>297</v>
      </c>
      <c r="J122" s="5" t="s">
        <v>18</v>
      </c>
      <c r="K122" s="5" t="s">
        <v>386</v>
      </c>
      <c r="L122" s="5" t="s">
        <v>104</v>
      </c>
      <c r="M122" s="5" t="s">
        <v>105</v>
      </c>
      <c r="N122" s="5" t="s">
        <v>383</v>
      </c>
      <c r="O122" s="5">
        <v>1E-3</v>
      </c>
      <c r="P122" s="91"/>
      <c r="Q122" s="91"/>
      <c r="R122" s="287">
        <v>1.23393</v>
      </c>
      <c r="S122" s="91"/>
      <c r="T122" s="91"/>
      <c r="U122" s="91"/>
      <c r="V122" s="99">
        <f t="shared" si="4"/>
        <v>1.234</v>
      </c>
      <c r="W122" s="34"/>
      <c r="X122" s="34"/>
      <c r="Y122" s="34"/>
      <c r="Z122" s="34"/>
      <c r="AA122" s="34"/>
      <c r="AB122" s="34"/>
      <c r="AC122" s="34"/>
      <c r="AD122" s="34"/>
      <c r="AE122" s="34"/>
      <c r="AF122" s="34"/>
      <c r="AG122" s="34"/>
      <c r="AH122" s="34"/>
      <c r="AI122" s="34" t="s">
        <v>296</v>
      </c>
      <c r="AJ122" s="34"/>
      <c r="AK122" s="34"/>
      <c r="AL122" s="34"/>
      <c r="AM122" s="34"/>
      <c r="AN122" s="34"/>
      <c r="AO122" s="34"/>
      <c r="AP122" s="34"/>
      <c r="AQ122" s="34"/>
      <c r="AR122" s="34"/>
      <c r="AS122" s="34"/>
      <c r="AT122" s="34"/>
      <c r="AU122" s="34"/>
      <c r="AV122" s="34"/>
      <c r="AW122" s="34"/>
      <c r="AX122" s="34"/>
      <c r="AY122" s="34"/>
      <c r="AZ122" s="34"/>
      <c r="BA122" s="5"/>
    </row>
    <row r="123" spans="1:53" ht="15" thickBot="1" x14ac:dyDescent="0.4">
      <c r="A123" s="24" t="s">
        <v>297</v>
      </c>
      <c r="B123" s="24" t="s">
        <v>297</v>
      </c>
      <c r="C123" s="24" t="s">
        <v>297</v>
      </c>
      <c r="D123" s="24" t="s">
        <v>297</v>
      </c>
      <c r="E123" s="24" t="s">
        <v>296</v>
      </c>
      <c r="F123" s="24" t="s">
        <v>297</v>
      </c>
      <c r="G123" s="24" t="s">
        <v>297</v>
      </c>
      <c r="H123" s="24" t="s">
        <v>297</v>
      </c>
      <c r="I123" s="24" t="s">
        <v>297</v>
      </c>
      <c r="J123" s="5" t="s">
        <v>18</v>
      </c>
      <c r="K123" s="5" t="s">
        <v>387</v>
      </c>
      <c r="L123" s="5" t="s">
        <v>107</v>
      </c>
      <c r="M123" s="5" t="s">
        <v>105</v>
      </c>
      <c r="N123" s="5" t="s">
        <v>383</v>
      </c>
      <c r="O123" s="5">
        <v>1E-3</v>
      </c>
      <c r="P123" s="91"/>
      <c r="Q123" s="91"/>
      <c r="R123" s="287">
        <v>0.98485</v>
      </c>
      <c r="S123" s="91"/>
      <c r="T123" s="91"/>
      <c r="U123" s="91"/>
      <c r="V123" s="99">
        <f t="shared" si="4"/>
        <v>0.98499999999999999</v>
      </c>
      <c r="W123" s="34"/>
      <c r="X123" s="34"/>
      <c r="Y123" s="34"/>
      <c r="Z123" s="34"/>
      <c r="AA123" s="34"/>
      <c r="AB123" s="34"/>
      <c r="AC123" s="34"/>
      <c r="AD123" s="34"/>
      <c r="AE123" s="34"/>
      <c r="AF123" s="34"/>
      <c r="AG123" s="34"/>
      <c r="AH123" s="34"/>
      <c r="AI123" s="34" t="s">
        <v>296</v>
      </c>
      <c r="AJ123" s="34"/>
      <c r="AK123" s="34"/>
      <c r="AL123" s="34"/>
      <c r="AM123" s="34"/>
      <c r="AN123" s="34"/>
      <c r="AO123" s="34"/>
      <c r="AP123" s="34"/>
      <c r="AQ123" s="34"/>
      <c r="AR123" s="34"/>
      <c r="AS123" s="34"/>
      <c r="AT123" s="34"/>
      <c r="AU123" s="34"/>
      <c r="AV123" s="34"/>
      <c r="AW123" s="34"/>
      <c r="AX123" s="34"/>
      <c r="AY123" s="34"/>
      <c r="AZ123" s="34"/>
      <c r="BA123" s="5"/>
    </row>
    <row r="124" spans="1:53" ht="15" thickBot="1" x14ac:dyDescent="0.4">
      <c r="A124" s="24" t="s">
        <v>297</v>
      </c>
      <c r="B124" s="24" t="s">
        <v>297</v>
      </c>
      <c r="C124" s="24" t="s">
        <v>297</v>
      </c>
      <c r="D124" s="24" t="s">
        <v>297</v>
      </c>
      <c r="E124" s="24" t="s">
        <v>296</v>
      </c>
      <c r="F124" s="24" t="s">
        <v>297</v>
      </c>
      <c r="G124" s="24" t="s">
        <v>297</v>
      </c>
      <c r="H124" s="24" t="s">
        <v>297</v>
      </c>
      <c r="I124" s="24" t="s">
        <v>297</v>
      </c>
      <c r="J124" s="5" t="s">
        <v>18</v>
      </c>
      <c r="K124" s="5" t="s">
        <v>387</v>
      </c>
      <c r="L124" s="5" t="s">
        <v>104</v>
      </c>
      <c r="M124" s="5" t="s">
        <v>105</v>
      </c>
      <c r="N124" s="5" t="s">
        <v>383</v>
      </c>
      <c r="O124" s="5">
        <v>1E-3</v>
      </c>
      <c r="P124" s="91"/>
      <c r="Q124" s="91"/>
      <c r="R124" s="287">
        <v>1.23393</v>
      </c>
      <c r="S124" s="91"/>
      <c r="T124" s="91"/>
      <c r="U124" s="91"/>
      <c r="V124" s="99">
        <f t="shared" si="4"/>
        <v>1.234</v>
      </c>
      <c r="W124" s="34"/>
      <c r="X124" s="34"/>
      <c r="Y124" s="34"/>
      <c r="Z124" s="34"/>
      <c r="AA124" s="34"/>
      <c r="AB124" s="34"/>
      <c r="AC124" s="34"/>
      <c r="AD124" s="34"/>
      <c r="AE124" s="34"/>
      <c r="AF124" s="34"/>
      <c r="AG124" s="34"/>
      <c r="AH124" s="34"/>
      <c r="AI124" s="34" t="s">
        <v>296</v>
      </c>
      <c r="AJ124" s="34"/>
      <c r="AK124" s="34"/>
      <c r="AL124" s="34"/>
      <c r="AM124" s="34"/>
      <c r="AN124" s="34"/>
      <c r="AO124" s="34"/>
      <c r="AP124" s="34"/>
      <c r="AQ124" s="34"/>
      <c r="AR124" s="34"/>
      <c r="AS124" s="34"/>
      <c r="AT124" s="34"/>
      <c r="AU124" s="34"/>
      <c r="AV124" s="34"/>
      <c r="AW124" s="34"/>
      <c r="AX124" s="34"/>
      <c r="AY124" s="34"/>
      <c r="AZ124" s="34"/>
      <c r="BA124" s="5"/>
    </row>
    <row r="125" spans="1:53" ht="15" thickBot="1" x14ac:dyDescent="0.4">
      <c r="A125" s="24" t="s">
        <v>297</v>
      </c>
      <c r="B125" s="24" t="s">
        <v>297</v>
      </c>
      <c r="C125" s="24" t="s">
        <v>297</v>
      </c>
      <c r="D125" s="24" t="s">
        <v>297</v>
      </c>
      <c r="E125" s="24" t="s">
        <v>296</v>
      </c>
      <c r="F125" s="24" t="s">
        <v>297</v>
      </c>
      <c r="G125" s="24" t="s">
        <v>297</v>
      </c>
      <c r="H125" s="24" t="s">
        <v>297</v>
      </c>
      <c r="I125" s="24" t="s">
        <v>297</v>
      </c>
      <c r="J125" s="5" t="s">
        <v>18</v>
      </c>
      <c r="K125" s="5" t="s">
        <v>388</v>
      </c>
      <c r="L125" s="5" t="s">
        <v>107</v>
      </c>
      <c r="M125" s="5" t="s">
        <v>105</v>
      </c>
      <c r="N125" s="5" t="s">
        <v>383</v>
      </c>
      <c r="O125" s="5">
        <v>1E-3</v>
      </c>
      <c r="P125" s="91"/>
      <c r="Q125" s="91"/>
      <c r="R125" s="287">
        <v>0.98485</v>
      </c>
      <c r="S125" s="91"/>
      <c r="T125" s="91"/>
      <c r="U125" s="91"/>
      <c r="V125" s="99">
        <f t="shared" si="4"/>
        <v>0.98499999999999999</v>
      </c>
      <c r="W125" s="34"/>
      <c r="X125" s="34"/>
      <c r="Y125" s="34"/>
      <c r="Z125" s="34"/>
      <c r="AA125" s="34"/>
      <c r="AB125" s="34"/>
      <c r="AC125" s="34"/>
      <c r="AD125" s="34"/>
      <c r="AE125" s="34"/>
      <c r="AF125" s="34"/>
      <c r="AG125" s="34"/>
      <c r="AH125" s="34"/>
      <c r="AI125" s="34" t="s">
        <v>296</v>
      </c>
      <c r="AJ125" s="34"/>
      <c r="AK125" s="34"/>
      <c r="AL125" s="34"/>
      <c r="AM125" s="34"/>
      <c r="AN125" s="34"/>
      <c r="AO125" s="34"/>
      <c r="AP125" s="34"/>
      <c r="AQ125" s="34"/>
      <c r="AR125" s="34"/>
      <c r="AS125" s="34"/>
      <c r="AT125" s="34"/>
      <c r="AU125" s="34"/>
      <c r="AV125" s="34"/>
      <c r="AW125" s="34"/>
      <c r="AX125" s="34"/>
      <c r="AY125" s="34"/>
      <c r="AZ125" s="34"/>
      <c r="BA125" s="5"/>
    </row>
    <row r="126" spans="1:53" ht="15" thickBot="1" x14ac:dyDescent="0.4">
      <c r="A126" s="24" t="s">
        <v>297</v>
      </c>
      <c r="B126" s="24" t="s">
        <v>297</v>
      </c>
      <c r="C126" s="24" t="s">
        <v>297</v>
      </c>
      <c r="D126" s="24" t="s">
        <v>297</v>
      </c>
      <c r="E126" s="24" t="s">
        <v>296</v>
      </c>
      <c r="F126" s="24" t="s">
        <v>297</v>
      </c>
      <c r="G126" s="24" t="s">
        <v>297</v>
      </c>
      <c r="H126" s="24" t="s">
        <v>297</v>
      </c>
      <c r="I126" s="24" t="s">
        <v>297</v>
      </c>
      <c r="J126" s="5" t="s">
        <v>18</v>
      </c>
      <c r="K126" s="5" t="s">
        <v>388</v>
      </c>
      <c r="L126" s="5" t="s">
        <v>104</v>
      </c>
      <c r="M126" s="5" t="s">
        <v>105</v>
      </c>
      <c r="N126" s="5" t="s">
        <v>383</v>
      </c>
      <c r="O126" s="5">
        <v>1E-3</v>
      </c>
      <c r="P126" s="91"/>
      <c r="Q126" s="91"/>
      <c r="R126" s="287">
        <v>1.23393</v>
      </c>
      <c r="S126" s="91"/>
      <c r="T126" s="91"/>
      <c r="U126" s="91"/>
      <c r="V126" s="99">
        <f t="shared" si="4"/>
        <v>1.234</v>
      </c>
      <c r="W126" s="34"/>
      <c r="X126" s="34"/>
      <c r="Y126" s="34"/>
      <c r="Z126" s="34"/>
      <c r="AA126" s="34"/>
      <c r="AB126" s="34"/>
      <c r="AC126" s="34"/>
      <c r="AD126" s="34"/>
      <c r="AE126" s="34"/>
      <c r="AF126" s="34"/>
      <c r="AG126" s="34"/>
      <c r="AH126" s="34"/>
      <c r="AI126" s="34" t="s">
        <v>296</v>
      </c>
      <c r="AJ126" s="34"/>
      <c r="AK126" s="34"/>
      <c r="AL126" s="34"/>
      <c r="AM126" s="34"/>
      <c r="AN126" s="34"/>
      <c r="AO126" s="34"/>
      <c r="AP126" s="34"/>
      <c r="AQ126" s="34"/>
      <c r="AR126" s="34"/>
      <c r="AS126" s="34"/>
      <c r="AT126" s="34"/>
      <c r="AU126" s="34"/>
      <c r="AV126" s="34"/>
      <c r="AW126" s="34"/>
      <c r="AX126" s="34"/>
      <c r="AY126" s="34"/>
      <c r="AZ126" s="34"/>
      <c r="BA126" s="5"/>
    </row>
    <row r="127" spans="1:53" ht="15" thickBot="1" x14ac:dyDescent="0.4">
      <c r="A127" s="24" t="s">
        <v>297</v>
      </c>
      <c r="B127" s="24" t="s">
        <v>297</v>
      </c>
      <c r="C127" s="24" t="s">
        <v>297</v>
      </c>
      <c r="D127" s="24" t="s">
        <v>297</v>
      </c>
      <c r="E127" s="24" t="s">
        <v>296</v>
      </c>
      <c r="F127" s="24" t="s">
        <v>297</v>
      </c>
      <c r="G127" s="24" t="s">
        <v>297</v>
      </c>
      <c r="H127" s="24" t="s">
        <v>297</v>
      </c>
      <c r="I127" s="24" t="s">
        <v>297</v>
      </c>
      <c r="J127" s="5" t="s">
        <v>18</v>
      </c>
      <c r="K127" s="5" t="s">
        <v>389</v>
      </c>
      <c r="L127" s="5" t="s">
        <v>107</v>
      </c>
      <c r="M127" s="5" t="s">
        <v>105</v>
      </c>
      <c r="N127" s="5" t="s">
        <v>383</v>
      </c>
      <c r="O127" s="5">
        <v>1E-3</v>
      </c>
      <c r="P127" s="91"/>
      <c r="Q127" s="91"/>
      <c r="R127" s="287">
        <v>0.98485</v>
      </c>
      <c r="S127" s="91"/>
      <c r="T127" s="91"/>
      <c r="U127" s="91"/>
      <c r="V127" s="99">
        <f t="shared" si="4"/>
        <v>0.98499999999999999</v>
      </c>
      <c r="W127" s="34"/>
      <c r="X127" s="34"/>
      <c r="Y127" s="34"/>
      <c r="Z127" s="34"/>
      <c r="AA127" s="34"/>
      <c r="AB127" s="34"/>
      <c r="AC127" s="34"/>
      <c r="AD127" s="34"/>
      <c r="AE127" s="34"/>
      <c r="AF127" s="34"/>
      <c r="AG127" s="34"/>
      <c r="AH127" s="34"/>
      <c r="AI127" s="34" t="s">
        <v>296</v>
      </c>
      <c r="AJ127" s="34"/>
      <c r="AK127" s="34"/>
      <c r="AL127" s="34"/>
      <c r="AM127" s="34"/>
      <c r="AN127" s="34"/>
      <c r="AO127" s="34"/>
      <c r="AP127" s="34"/>
      <c r="AQ127" s="34"/>
      <c r="AR127" s="34"/>
      <c r="AS127" s="34"/>
      <c r="AT127" s="34"/>
      <c r="AU127" s="34"/>
      <c r="AV127" s="34"/>
      <c r="AW127" s="34"/>
      <c r="AX127" s="34"/>
      <c r="AY127" s="34"/>
      <c r="AZ127" s="34"/>
      <c r="BA127" s="5"/>
    </row>
    <row r="128" spans="1:53" ht="15" thickBot="1" x14ac:dyDescent="0.4">
      <c r="A128" s="24" t="s">
        <v>297</v>
      </c>
      <c r="B128" s="24" t="s">
        <v>297</v>
      </c>
      <c r="C128" s="24" t="s">
        <v>297</v>
      </c>
      <c r="D128" s="24" t="s">
        <v>297</v>
      </c>
      <c r="E128" s="24" t="s">
        <v>296</v>
      </c>
      <c r="F128" s="24" t="s">
        <v>297</v>
      </c>
      <c r="G128" s="24" t="s">
        <v>297</v>
      </c>
      <c r="H128" s="24" t="s">
        <v>297</v>
      </c>
      <c r="I128" s="24" t="s">
        <v>297</v>
      </c>
      <c r="J128" s="5" t="s">
        <v>18</v>
      </c>
      <c r="K128" s="5" t="s">
        <v>389</v>
      </c>
      <c r="L128" s="5" t="s">
        <v>104</v>
      </c>
      <c r="M128" s="5" t="s">
        <v>105</v>
      </c>
      <c r="N128" s="5" t="s">
        <v>383</v>
      </c>
      <c r="O128" s="5">
        <v>1E-3</v>
      </c>
      <c r="P128" s="91"/>
      <c r="Q128" s="91"/>
      <c r="R128" s="287">
        <v>1.23393</v>
      </c>
      <c r="S128" s="91"/>
      <c r="T128" s="91"/>
      <c r="U128" s="91"/>
      <c r="V128" s="99">
        <f t="shared" si="4"/>
        <v>1.234</v>
      </c>
      <c r="W128" s="34"/>
      <c r="X128" s="34"/>
      <c r="Y128" s="34"/>
      <c r="Z128" s="34"/>
      <c r="AA128" s="34"/>
      <c r="AB128" s="34"/>
      <c r="AC128" s="34"/>
      <c r="AD128" s="34"/>
      <c r="AE128" s="34"/>
      <c r="AF128" s="34"/>
      <c r="AG128" s="34"/>
      <c r="AH128" s="34"/>
      <c r="AI128" s="34" t="s">
        <v>296</v>
      </c>
      <c r="AJ128" s="34"/>
      <c r="AK128" s="34"/>
      <c r="AL128" s="34"/>
      <c r="AM128" s="34"/>
      <c r="AN128" s="34"/>
      <c r="AO128" s="34"/>
      <c r="AP128" s="34"/>
      <c r="AQ128" s="34"/>
      <c r="AR128" s="34"/>
      <c r="AS128" s="34"/>
      <c r="AT128" s="34"/>
      <c r="AU128" s="34"/>
      <c r="AV128" s="34"/>
      <c r="AW128" s="34"/>
      <c r="AX128" s="34"/>
      <c r="AY128" s="34"/>
      <c r="AZ128" s="34"/>
      <c r="BA128" s="5"/>
    </row>
    <row r="129" spans="1:53" ht="15" thickBot="1" x14ac:dyDescent="0.4">
      <c r="A129" s="24" t="s">
        <v>297</v>
      </c>
      <c r="B129" s="24" t="s">
        <v>297</v>
      </c>
      <c r="C129" s="24" t="s">
        <v>297</v>
      </c>
      <c r="D129" s="24" t="s">
        <v>297</v>
      </c>
      <c r="E129" s="24" t="s">
        <v>296</v>
      </c>
      <c r="F129" s="24" t="s">
        <v>297</v>
      </c>
      <c r="G129" s="24" t="s">
        <v>297</v>
      </c>
      <c r="H129" s="24" t="s">
        <v>297</v>
      </c>
      <c r="I129" s="24" t="s">
        <v>297</v>
      </c>
      <c r="J129" s="5" t="s">
        <v>18</v>
      </c>
      <c r="K129" s="5" t="s">
        <v>390</v>
      </c>
      <c r="L129" s="5" t="s">
        <v>107</v>
      </c>
      <c r="M129" s="5" t="s">
        <v>105</v>
      </c>
      <c r="N129" s="5" t="s">
        <v>383</v>
      </c>
      <c r="O129" s="5">
        <v>1E-3</v>
      </c>
      <c r="P129" s="91"/>
      <c r="Q129" s="91"/>
      <c r="R129" s="287">
        <v>0.98485</v>
      </c>
      <c r="S129" s="91"/>
      <c r="T129" s="91"/>
      <c r="U129" s="91"/>
      <c r="V129" s="99">
        <f t="shared" si="4"/>
        <v>0.98499999999999999</v>
      </c>
      <c r="W129" s="34"/>
      <c r="X129" s="34"/>
      <c r="Y129" s="34"/>
      <c r="Z129" s="34"/>
      <c r="AA129" s="34"/>
      <c r="AB129" s="34"/>
      <c r="AC129" s="34"/>
      <c r="AD129" s="34"/>
      <c r="AE129" s="34"/>
      <c r="AF129" s="34"/>
      <c r="AG129" s="34"/>
      <c r="AH129" s="34"/>
      <c r="AI129" s="34" t="s">
        <v>296</v>
      </c>
      <c r="AJ129" s="34"/>
      <c r="AK129" s="34"/>
      <c r="AL129" s="34"/>
      <c r="AM129" s="34"/>
      <c r="AN129" s="34"/>
      <c r="AO129" s="34"/>
      <c r="AP129" s="34"/>
      <c r="AQ129" s="34"/>
      <c r="AR129" s="34"/>
      <c r="AS129" s="34"/>
      <c r="AT129" s="34"/>
      <c r="AU129" s="34"/>
      <c r="AV129" s="34"/>
      <c r="AW129" s="34"/>
      <c r="AX129" s="34"/>
      <c r="AY129" s="34"/>
      <c r="AZ129" s="34"/>
      <c r="BA129" s="5"/>
    </row>
    <row r="130" spans="1:53" ht="15" thickBot="1" x14ac:dyDescent="0.4">
      <c r="A130" s="24" t="s">
        <v>297</v>
      </c>
      <c r="B130" s="24" t="s">
        <v>297</v>
      </c>
      <c r="C130" s="24" t="s">
        <v>297</v>
      </c>
      <c r="D130" s="24" t="s">
        <v>297</v>
      </c>
      <c r="E130" s="24" t="s">
        <v>296</v>
      </c>
      <c r="F130" s="24" t="s">
        <v>297</v>
      </c>
      <c r="G130" s="24" t="s">
        <v>297</v>
      </c>
      <c r="H130" s="24" t="s">
        <v>297</v>
      </c>
      <c r="I130" s="24" t="s">
        <v>297</v>
      </c>
      <c r="J130" s="5" t="s">
        <v>18</v>
      </c>
      <c r="K130" s="5" t="s">
        <v>390</v>
      </c>
      <c r="L130" s="5" t="s">
        <v>104</v>
      </c>
      <c r="M130" s="5" t="s">
        <v>105</v>
      </c>
      <c r="N130" s="5" t="s">
        <v>383</v>
      </c>
      <c r="O130" s="5">
        <v>1E-3</v>
      </c>
      <c r="P130" s="91"/>
      <c r="Q130" s="91"/>
      <c r="R130" s="287">
        <v>0.98485</v>
      </c>
      <c r="S130" s="91"/>
      <c r="T130" s="91"/>
      <c r="U130" s="91"/>
      <c r="V130" s="99">
        <f t="shared" si="4"/>
        <v>0.98499999999999999</v>
      </c>
      <c r="W130" s="34"/>
      <c r="X130" s="34"/>
      <c r="Y130" s="34"/>
      <c r="Z130" s="34"/>
      <c r="AA130" s="34"/>
      <c r="AB130" s="34"/>
      <c r="AC130" s="34"/>
      <c r="AD130" s="34"/>
      <c r="AE130" s="34"/>
      <c r="AF130" s="34"/>
      <c r="AG130" s="34"/>
      <c r="AH130" s="34"/>
      <c r="AI130" s="34" t="s">
        <v>296</v>
      </c>
      <c r="AJ130" s="34"/>
      <c r="AK130" s="34"/>
      <c r="AL130" s="34"/>
      <c r="AM130" s="34"/>
      <c r="AN130" s="34"/>
      <c r="AO130" s="34"/>
      <c r="AP130" s="34"/>
      <c r="AQ130" s="34"/>
      <c r="AR130" s="34"/>
      <c r="AS130" s="34"/>
      <c r="AT130" s="34"/>
      <c r="AU130" s="34"/>
      <c r="AV130" s="34"/>
      <c r="AW130" s="34"/>
      <c r="AX130" s="34"/>
      <c r="AY130" s="34"/>
      <c r="AZ130" s="34"/>
      <c r="BA130" s="5"/>
    </row>
    <row r="131" spans="1:53" ht="15" thickBot="1" x14ac:dyDescent="0.4">
      <c r="A131" s="24" t="s">
        <v>297</v>
      </c>
      <c r="B131" s="24" t="s">
        <v>297</v>
      </c>
      <c r="C131" s="24" t="s">
        <v>297</v>
      </c>
      <c r="D131" s="24" t="s">
        <v>297</v>
      </c>
      <c r="E131" s="24" t="s">
        <v>296</v>
      </c>
      <c r="F131" s="24" t="s">
        <v>297</v>
      </c>
      <c r="G131" s="24" t="s">
        <v>297</v>
      </c>
      <c r="H131" s="24" t="s">
        <v>297</v>
      </c>
      <c r="I131" s="24" t="s">
        <v>297</v>
      </c>
      <c r="J131" s="5" t="s">
        <v>18</v>
      </c>
      <c r="K131" s="5" t="s">
        <v>391</v>
      </c>
      <c r="L131" s="5" t="s">
        <v>107</v>
      </c>
      <c r="M131" s="5" t="s">
        <v>105</v>
      </c>
      <c r="N131" s="5" t="s">
        <v>383</v>
      </c>
      <c r="O131" s="5">
        <v>1E-3</v>
      </c>
      <c r="P131" s="91"/>
      <c r="Q131" s="91"/>
      <c r="R131" s="287">
        <v>0.98485</v>
      </c>
      <c r="S131" s="91"/>
      <c r="T131" s="91"/>
      <c r="U131" s="91"/>
      <c r="V131" s="99">
        <f t="shared" si="4"/>
        <v>0.98499999999999999</v>
      </c>
      <c r="W131" s="34"/>
      <c r="X131" s="34"/>
      <c r="Y131" s="34"/>
      <c r="Z131" s="34"/>
      <c r="AA131" s="34"/>
      <c r="AB131" s="34"/>
      <c r="AC131" s="34"/>
      <c r="AD131" s="34"/>
      <c r="AE131" s="34"/>
      <c r="AF131" s="34"/>
      <c r="AG131" s="34"/>
      <c r="AH131" s="34"/>
      <c r="AI131" s="34" t="s">
        <v>296</v>
      </c>
      <c r="AJ131" s="34"/>
      <c r="AK131" s="34"/>
      <c r="AL131" s="34"/>
      <c r="AM131" s="34"/>
      <c r="AN131" s="34"/>
      <c r="AO131" s="34"/>
      <c r="AP131" s="34"/>
      <c r="AQ131" s="34"/>
      <c r="AR131" s="34"/>
      <c r="AS131" s="34"/>
      <c r="AT131" s="34"/>
      <c r="AU131" s="34"/>
      <c r="AV131" s="34"/>
      <c r="AW131" s="34"/>
      <c r="AX131" s="34"/>
      <c r="AY131" s="34"/>
      <c r="AZ131" s="34"/>
      <c r="BA131" s="5"/>
    </row>
    <row r="132" spans="1:53" ht="15" thickBot="1" x14ac:dyDescent="0.4">
      <c r="A132" s="24" t="s">
        <v>297</v>
      </c>
      <c r="B132" s="24" t="s">
        <v>297</v>
      </c>
      <c r="C132" s="24" t="s">
        <v>297</v>
      </c>
      <c r="D132" s="24" t="s">
        <v>297</v>
      </c>
      <c r="E132" s="24" t="s">
        <v>296</v>
      </c>
      <c r="F132" s="24" t="s">
        <v>297</v>
      </c>
      <c r="G132" s="24" t="s">
        <v>297</v>
      </c>
      <c r="H132" s="24" t="s">
        <v>297</v>
      </c>
      <c r="I132" s="24" t="s">
        <v>297</v>
      </c>
      <c r="J132" s="5" t="s">
        <v>18</v>
      </c>
      <c r="K132" s="5" t="s">
        <v>391</v>
      </c>
      <c r="L132" s="5" t="s">
        <v>104</v>
      </c>
      <c r="M132" s="5" t="s">
        <v>105</v>
      </c>
      <c r="N132" s="5" t="s">
        <v>383</v>
      </c>
      <c r="O132" s="5">
        <v>1E-3</v>
      </c>
      <c r="P132" s="91"/>
      <c r="Q132" s="91"/>
      <c r="R132" s="287">
        <v>19.51726</v>
      </c>
      <c r="S132" s="91"/>
      <c r="T132" s="91"/>
      <c r="U132" s="91"/>
      <c r="V132" s="99">
        <f t="shared" si="4"/>
        <v>19.516999999999999</v>
      </c>
      <c r="W132" s="34"/>
      <c r="X132" s="34"/>
      <c r="Y132" s="34"/>
      <c r="Z132" s="34"/>
      <c r="AA132" s="34"/>
      <c r="AB132" s="34"/>
      <c r="AC132" s="34"/>
      <c r="AD132" s="34"/>
      <c r="AE132" s="34"/>
      <c r="AF132" s="34"/>
      <c r="AG132" s="34"/>
      <c r="AH132" s="34"/>
      <c r="AI132" s="34" t="s">
        <v>296</v>
      </c>
      <c r="AJ132" s="34"/>
      <c r="AK132" s="34"/>
      <c r="AL132" s="34"/>
      <c r="AM132" s="34"/>
      <c r="AN132" s="34"/>
      <c r="AO132" s="34"/>
      <c r="AP132" s="34"/>
      <c r="AQ132" s="34"/>
      <c r="AR132" s="34"/>
      <c r="AS132" s="34"/>
      <c r="AT132" s="34"/>
      <c r="AU132" s="34"/>
      <c r="AV132" s="34"/>
      <c r="AW132" s="34"/>
      <c r="AX132" s="34"/>
      <c r="AY132" s="34"/>
      <c r="AZ132" s="34"/>
      <c r="BA132" s="5"/>
    </row>
    <row r="133" spans="1:53" ht="15" thickBot="1" x14ac:dyDescent="0.4">
      <c r="A133" s="24" t="s">
        <v>297</v>
      </c>
      <c r="B133" s="24" t="s">
        <v>297</v>
      </c>
      <c r="C133" s="24" t="s">
        <v>297</v>
      </c>
      <c r="D133" s="24" t="s">
        <v>297</v>
      </c>
      <c r="E133" s="24" t="s">
        <v>296</v>
      </c>
      <c r="F133" s="24" t="s">
        <v>297</v>
      </c>
      <c r="G133" s="24" t="s">
        <v>297</v>
      </c>
      <c r="H133" s="24" t="s">
        <v>297</v>
      </c>
      <c r="I133" s="24" t="s">
        <v>297</v>
      </c>
      <c r="J133" s="5" t="s">
        <v>18</v>
      </c>
      <c r="K133" s="5" t="s">
        <v>392</v>
      </c>
      <c r="L133" s="5" t="s">
        <v>107</v>
      </c>
      <c r="M133" s="5" t="s">
        <v>105</v>
      </c>
      <c r="N133" s="5" t="s">
        <v>383</v>
      </c>
      <c r="O133" s="5">
        <v>1E-3</v>
      </c>
      <c r="P133" s="91"/>
      <c r="Q133" s="91"/>
      <c r="R133" s="287">
        <v>6.4106100000000001</v>
      </c>
      <c r="S133" s="91"/>
      <c r="T133" s="91"/>
      <c r="U133" s="91"/>
      <c r="V133" s="99">
        <f t="shared" si="4"/>
        <v>6.4109999999999996</v>
      </c>
      <c r="W133" s="34"/>
      <c r="X133" s="34"/>
      <c r="Y133" s="34"/>
      <c r="Z133" s="34"/>
      <c r="AA133" s="34"/>
      <c r="AB133" s="34"/>
      <c r="AC133" s="34"/>
      <c r="AD133" s="34"/>
      <c r="AE133" s="34"/>
      <c r="AF133" s="34"/>
      <c r="AG133" s="34"/>
      <c r="AH133" s="34"/>
      <c r="AI133" s="34" t="s">
        <v>296</v>
      </c>
      <c r="AJ133" s="34"/>
      <c r="AK133" s="34"/>
      <c r="AL133" s="34"/>
      <c r="AM133" s="34"/>
      <c r="AN133" s="34"/>
      <c r="AO133" s="34"/>
      <c r="AP133" s="34"/>
      <c r="AQ133" s="34"/>
      <c r="AR133" s="34"/>
      <c r="AS133" s="34"/>
      <c r="AT133" s="34"/>
      <c r="AU133" s="34"/>
      <c r="AV133" s="34"/>
      <c r="AW133" s="34"/>
      <c r="AX133" s="34"/>
      <c r="AY133" s="34"/>
      <c r="AZ133" s="34"/>
      <c r="BA133" s="5"/>
    </row>
    <row r="134" spans="1:53" ht="15" thickBot="1" x14ac:dyDescent="0.4">
      <c r="A134" s="24" t="s">
        <v>297</v>
      </c>
      <c r="B134" s="24" t="s">
        <v>297</v>
      </c>
      <c r="C134" s="24" t="s">
        <v>297</v>
      </c>
      <c r="D134" s="24" t="s">
        <v>297</v>
      </c>
      <c r="E134" s="24" t="s">
        <v>296</v>
      </c>
      <c r="F134" s="24" t="s">
        <v>297</v>
      </c>
      <c r="G134" s="24" t="s">
        <v>297</v>
      </c>
      <c r="H134" s="24" t="s">
        <v>297</v>
      </c>
      <c r="I134" s="24" t="s">
        <v>297</v>
      </c>
      <c r="J134" s="5" t="s">
        <v>18</v>
      </c>
      <c r="K134" s="5" t="s">
        <v>392</v>
      </c>
      <c r="L134" s="5" t="s">
        <v>393</v>
      </c>
      <c r="M134" s="5" t="s">
        <v>105</v>
      </c>
      <c r="N134" s="5" t="s">
        <v>383</v>
      </c>
      <c r="O134" s="5">
        <v>1E-3</v>
      </c>
      <c r="P134" s="91"/>
      <c r="Q134" s="91"/>
      <c r="R134" s="287">
        <v>6.4106100000000001</v>
      </c>
      <c r="S134" s="91"/>
      <c r="T134" s="91"/>
      <c r="U134" s="91"/>
      <c r="V134" s="99">
        <f t="shared" si="4"/>
        <v>6.4109999999999996</v>
      </c>
      <c r="W134" s="34"/>
      <c r="X134" s="34"/>
      <c r="Y134" s="34"/>
      <c r="Z134" s="34"/>
      <c r="AA134" s="34"/>
      <c r="AB134" s="34"/>
      <c r="AC134" s="34"/>
      <c r="AD134" s="34"/>
      <c r="AE134" s="34"/>
      <c r="AF134" s="34"/>
      <c r="AG134" s="34"/>
      <c r="AH134" s="34"/>
      <c r="AI134" s="34" t="s">
        <v>296</v>
      </c>
      <c r="AJ134" s="34"/>
      <c r="AK134" s="34"/>
      <c r="AL134" s="34"/>
      <c r="AM134" s="34"/>
      <c r="AN134" s="34"/>
      <c r="AO134" s="34"/>
      <c r="AP134" s="34"/>
      <c r="AQ134" s="34"/>
      <c r="AR134" s="34"/>
      <c r="AS134" s="34"/>
      <c r="AT134" s="34"/>
      <c r="AU134" s="34"/>
      <c r="AV134" s="34"/>
      <c r="AW134" s="34"/>
      <c r="AX134" s="34"/>
      <c r="AY134" s="34"/>
      <c r="AZ134" s="34"/>
      <c r="BA134" s="5"/>
    </row>
    <row r="135" spans="1:53" ht="15" thickBot="1" x14ac:dyDescent="0.4">
      <c r="A135" s="24" t="s">
        <v>297</v>
      </c>
      <c r="B135" s="24" t="s">
        <v>297</v>
      </c>
      <c r="C135" s="24" t="s">
        <v>297</v>
      </c>
      <c r="D135" s="24" t="s">
        <v>297</v>
      </c>
      <c r="E135" s="24" t="s">
        <v>296</v>
      </c>
      <c r="F135" s="24" t="s">
        <v>297</v>
      </c>
      <c r="G135" s="24" t="s">
        <v>297</v>
      </c>
      <c r="H135" s="24" t="s">
        <v>297</v>
      </c>
      <c r="I135" s="24" t="s">
        <v>297</v>
      </c>
      <c r="J135" s="5" t="s">
        <v>18</v>
      </c>
      <c r="K135" s="5" t="s">
        <v>394</v>
      </c>
      <c r="L135" s="5" t="s">
        <v>107</v>
      </c>
      <c r="M135" s="5" t="s">
        <v>105</v>
      </c>
      <c r="N135" s="5" t="s">
        <v>383</v>
      </c>
      <c r="O135" s="5">
        <v>1E-3</v>
      </c>
      <c r="P135" s="91"/>
      <c r="Q135" s="91"/>
      <c r="R135" s="287">
        <v>6.4106100000000001</v>
      </c>
      <c r="S135" s="91"/>
      <c r="T135" s="91"/>
      <c r="U135" s="91"/>
      <c r="V135" s="99">
        <f t="shared" si="4"/>
        <v>6.4109999999999996</v>
      </c>
      <c r="W135" s="34"/>
      <c r="X135" s="34"/>
      <c r="Y135" s="34"/>
      <c r="Z135" s="34"/>
      <c r="AA135" s="34"/>
      <c r="AB135" s="34"/>
      <c r="AC135" s="34"/>
      <c r="AD135" s="34"/>
      <c r="AE135" s="34"/>
      <c r="AF135" s="34"/>
      <c r="AG135" s="34"/>
      <c r="AH135" s="34"/>
      <c r="AI135" s="34" t="s">
        <v>296</v>
      </c>
      <c r="AJ135" s="34"/>
      <c r="AK135" s="34"/>
      <c r="AL135" s="34"/>
      <c r="AM135" s="34"/>
      <c r="AN135" s="34"/>
      <c r="AO135" s="34"/>
      <c r="AP135" s="34"/>
      <c r="AQ135" s="34"/>
      <c r="AR135" s="34"/>
      <c r="AS135" s="34"/>
      <c r="AT135" s="34"/>
      <c r="AU135" s="34"/>
      <c r="AV135" s="34"/>
      <c r="AW135" s="34"/>
      <c r="AX135" s="34"/>
      <c r="AY135" s="34"/>
      <c r="AZ135" s="34"/>
      <c r="BA135" s="5"/>
    </row>
    <row r="136" spans="1:53" ht="15" thickBot="1" x14ac:dyDescent="0.4">
      <c r="A136" s="24" t="s">
        <v>297</v>
      </c>
      <c r="B136" s="24" t="s">
        <v>297</v>
      </c>
      <c r="C136" s="24" t="s">
        <v>297</v>
      </c>
      <c r="D136" s="24" t="s">
        <v>297</v>
      </c>
      <c r="E136" s="24" t="s">
        <v>296</v>
      </c>
      <c r="F136" s="24" t="s">
        <v>297</v>
      </c>
      <c r="G136" s="24" t="s">
        <v>297</v>
      </c>
      <c r="H136" s="24" t="s">
        <v>297</v>
      </c>
      <c r="I136" s="24" t="s">
        <v>297</v>
      </c>
      <c r="J136" s="5" t="s">
        <v>18</v>
      </c>
      <c r="K136" s="5" t="s">
        <v>394</v>
      </c>
      <c r="L136" s="5" t="s">
        <v>104</v>
      </c>
      <c r="M136" s="5" t="s">
        <v>105</v>
      </c>
      <c r="N136" s="5" t="s">
        <v>383</v>
      </c>
      <c r="O136" s="5">
        <v>1E-3</v>
      </c>
      <c r="P136" s="91"/>
      <c r="Q136" s="91"/>
      <c r="R136" s="287">
        <v>71.95</v>
      </c>
      <c r="S136" s="91"/>
      <c r="T136" s="91"/>
      <c r="U136" s="91"/>
      <c r="V136" s="99">
        <f t="shared" si="4"/>
        <v>71.95</v>
      </c>
      <c r="W136" s="34"/>
      <c r="X136" s="34"/>
      <c r="Y136" s="34"/>
      <c r="Z136" s="34"/>
      <c r="AA136" s="34"/>
      <c r="AB136" s="34"/>
      <c r="AC136" s="34"/>
      <c r="AD136" s="34"/>
      <c r="AE136" s="34"/>
      <c r="AF136" s="34"/>
      <c r="AG136" s="34"/>
      <c r="AH136" s="34"/>
      <c r="AI136" s="34" t="s">
        <v>296</v>
      </c>
      <c r="AJ136" s="34"/>
      <c r="AK136" s="34"/>
      <c r="AL136" s="34"/>
      <c r="AM136" s="34"/>
      <c r="AN136" s="34"/>
      <c r="AO136" s="34"/>
      <c r="AP136" s="34"/>
      <c r="AQ136" s="34"/>
      <c r="AR136" s="34"/>
      <c r="AS136" s="34"/>
      <c r="AT136" s="34"/>
      <c r="AU136" s="34"/>
      <c r="AV136" s="34"/>
      <c r="AW136" s="34"/>
      <c r="AX136" s="34"/>
      <c r="AY136" s="34"/>
      <c r="AZ136" s="34"/>
      <c r="BA136" s="5"/>
    </row>
    <row r="137" spans="1:53" ht="15" thickBot="1" x14ac:dyDescent="0.4">
      <c r="A137" s="24" t="s">
        <v>297</v>
      </c>
      <c r="B137" s="24" t="s">
        <v>297</v>
      </c>
      <c r="C137" s="24" t="s">
        <v>297</v>
      </c>
      <c r="D137" s="24" t="s">
        <v>297</v>
      </c>
      <c r="E137" s="24" t="s">
        <v>296</v>
      </c>
      <c r="F137" s="24" t="s">
        <v>297</v>
      </c>
      <c r="G137" s="24" t="s">
        <v>297</v>
      </c>
      <c r="H137" s="24" t="s">
        <v>297</v>
      </c>
      <c r="I137" s="24" t="s">
        <v>297</v>
      </c>
      <c r="J137" s="5" t="s">
        <v>18</v>
      </c>
      <c r="K137" s="5" t="s">
        <v>395</v>
      </c>
      <c r="L137" s="5" t="s">
        <v>107</v>
      </c>
      <c r="M137" s="5" t="s">
        <v>105</v>
      </c>
      <c r="N137" s="5" t="s">
        <v>383</v>
      </c>
      <c r="O137" s="5">
        <v>1E-3</v>
      </c>
      <c r="P137" s="91"/>
      <c r="Q137" s="91"/>
      <c r="R137" s="287">
        <v>6.4106100000000001</v>
      </c>
      <c r="S137" s="91"/>
      <c r="T137" s="91"/>
      <c r="U137" s="91"/>
      <c r="V137" s="99">
        <f t="shared" si="4"/>
        <v>6.4109999999999996</v>
      </c>
      <c r="W137" s="34"/>
      <c r="X137" s="34"/>
      <c r="Y137" s="34"/>
      <c r="Z137" s="34"/>
      <c r="AA137" s="34"/>
      <c r="AB137" s="34"/>
      <c r="AC137" s="34"/>
      <c r="AD137" s="34"/>
      <c r="AE137" s="34"/>
      <c r="AF137" s="34"/>
      <c r="AG137" s="34"/>
      <c r="AH137" s="34"/>
      <c r="AI137" s="34" t="s">
        <v>296</v>
      </c>
      <c r="AJ137" s="34"/>
      <c r="AK137" s="34"/>
      <c r="AL137" s="34"/>
      <c r="AM137" s="34"/>
      <c r="AN137" s="34"/>
      <c r="AO137" s="34"/>
      <c r="AP137" s="34"/>
      <c r="AQ137" s="34"/>
      <c r="AR137" s="34"/>
      <c r="AS137" s="34"/>
      <c r="AT137" s="34"/>
      <c r="AU137" s="34"/>
      <c r="AV137" s="34"/>
      <c r="AW137" s="34"/>
      <c r="AX137" s="34"/>
      <c r="AY137" s="34"/>
      <c r="AZ137" s="34"/>
      <c r="BA137" s="5"/>
    </row>
    <row r="138" spans="1:53" ht="15" thickBot="1" x14ac:dyDescent="0.4">
      <c r="A138" s="24" t="s">
        <v>297</v>
      </c>
      <c r="B138" s="24" t="s">
        <v>297</v>
      </c>
      <c r="C138" s="24" t="s">
        <v>297</v>
      </c>
      <c r="D138" s="24" t="s">
        <v>297</v>
      </c>
      <c r="E138" s="24" t="s">
        <v>296</v>
      </c>
      <c r="F138" s="24" t="s">
        <v>297</v>
      </c>
      <c r="G138" s="24" t="s">
        <v>297</v>
      </c>
      <c r="H138" s="24" t="s">
        <v>297</v>
      </c>
      <c r="I138" s="24" t="s">
        <v>297</v>
      </c>
      <c r="J138" s="5" t="s">
        <v>18</v>
      </c>
      <c r="K138" s="5" t="s">
        <v>396</v>
      </c>
      <c r="L138" s="5" t="s">
        <v>107</v>
      </c>
      <c r="M138" s="5" t="s">
        <v>105</v>
      </c>
      <c r="N138" s="5" t="s">
        <v>383</v>
      </c>
      <c r="O138" s="5">
        <v>1E-3</v>
      </c>
      <c r="P138" s="91"/>
      <c r="Q138" s="91"/>
      <c r="R138" s="287">
        <v>6.4106100000000001</v>
      </c>
      <c r="S138" s="91"/>
      <c r="T138" s="91"/>
      <c r="U138" s="91"/>
      <c r="V138" s="99">
        <f t="shared" si="4"/>
        <v>6.4109999999999996</v>
      </c>
      <c r="W138" s="34"/>
      <c r="X138" s="34"/>
      <c r="Y138" s="34"/>
      <c r="Z138" s="34"/>
      <c r="AA138" s="34"/>
      <c r="AB138" s="34"/>
      <c r="AC138" s="34"/>
      <c r="AD138" s="34"/>
      <c r="AE138" s="34"/>
      <c r="AF138" s="34"/>
      <c r="AG138" s="34"/>
      <c r="AH138" s="34"/>
      <c r="AI138" s="34" t="s">
        <v>296</v>
      </c>
      <c r="AJ138" s="34"/>
      <c r="AK138" s="34"/>
      <c r="AL138" s="34"/>
      <c r="AM138" s="34"/>
      <c r="AN138" s="34"/>
      <c r="AO138" s="34"/>
      <c r="AP138" s="34"/>
      <c r="AQ138" s="34"/>
      <c r="AR138" s="34"/>
      <c r="AS138" s="34"/>
      <c r="AT138" s="34"/>
      <c r="AU138" s="34"/>
      <c r="AV138" s="34"/>
      <c r="AW138" s="34"/>
      <c r="AX138" s="34"/>
      <c r="AY138" s="34"/>
      <c r="AZ138" s="34"/>
      <c r="BA138" s="5"/>
    </row>
    <row r="139" spans="1:53" ht="15" thickBot="1" x14ac:dyDescent="0.4">
      <c r="A139" s="24" t="s">
        <v>297</v>
      </c>
      <c r="B139" s="24" t="s">
        <v>297</v>
      </c>
      <c r="C139" s="24" t="s">
        <v>297</v>
      </c>
      <c r="D139" s="24" t="s">
        <v>297</v>
      </c>
      <c r="E139" s="24" t="s">
        <v>296</v>
      </c>
      <c r="F139" s="24" t="s">
        <v>297</v>
      </c>
      <c r="G139" s="24" t="s">
        <v>297</v>
      </c>
      <c r="H139" s="24" t="s">
        <v>297</v>
      </c>
      <c r="I139" s="24" t="s">
        <v>297</v>
      </c>
      <c r="J139" s="5" t="s">
        <v>18</v>
      </c>
      <c r="K139" s="5" t="s">
        <v>396</v>
      </c>
      <c r="L139" s="5" t="s">
        <v>393</v>
      </c>
      <c r="M139" s="5" t="s">
        <v>105</v>
      </c>
      <c r="N139" s="5" t="s">
        <v>383</v>
      </c>
      <c r="O139" s="5">
        <v>1E-3</v>
      </c>
      <c r="P139" s="91"/>
      <c r="Q139" s="91"/>
      <c r="R139" s="287">
        <v>6.4106100000000001</v>
      </c>
      <c r="S139" s="91"/>
      <c r="T139" s="91"/>
      <c r="U139" s="91"/>
      <c r="V139" s="99">
        <f t="shared" si="4"/>
        <v>6.4109999999999996</v>
      </c>
      <c r="W139" s="34"/>
      <c r="X139" s="34"/>
      <c r="Y139" s="34"/>
      <c r="Z139" s="34"/>
      <c r="AA139" s="34"/>
      <c r="AB139" s="34"/>
      <c r="AC139" s="34"/>
      <c r="AD139" s="34"/>
      <c r="AE139" s="34"/>
      <c r="AF139" s="34"/>
      <c r="AG139" s="34"/>
      <c r="AH139" s="34"/>
      <c r="AI139" s="34" t="s">
        <v>296</v>
      </c>
      <c r="AJ139" s="34"/>
      <c r="AK139" s="34"/>
      <c r="AL139" s="34"/>
      <c r="AM139" s="34"/>
      <c r="AN139" s="34"/>
      <c r="AO139" s="34"/>
      <c r="AP139" s="34"/>
      <c r="AQ139" s="34"/>
      <c r="AR139" s="34"/>
      <c r="AS139" s="34"/>
      <c r="AT139" s="34"/>
      <c r="AU139" s="34"/>
      <c r="AV139" s="34"/>
      <c r="AW139" s="34"/>
      <c r="AX139" s="34"/>
      <c r="AY139" s="34"/>
      <c r="AZ139" s="34"/>
      <c r="BA139" s="5"/>
    </row>
    <row r="140" spans="1:53" ht="15" thickBot="1" x14ac:dyDescent="0.4">
      <c r="A140" s="24" t="s">
        <v>297</v>
      </c>
      <c r="B140" s="24" t="s">
        <v>297</v>
      </c>
      <c r="C140" s="24" t="s">
        <v>297</v>
      </c>
      <c r="D140" s="24" t="s">
        <v>297</v>
      </c>
      <c r="E140" s="24" t="s">
        <v>296</v>
      </c>
      <c r="F140" s="24" t="s">
        <v>297</v>
      </c>
      <c r="G140" s="24" t="s">
        <v>297</v>
      </c>
      <c r="H140" s="24" t="s">
        <v>297</v>
      </c>
      <c r="I140" s="24" t="s">
        <v>297</v>
      </c>
      <c r="J140" s="5" t="s">
        <v>18</v>
      </c>
      <c r="K140" s="5" t="s">
        <v>396</v>
      </c>
      <c r="L140" s="5" t="s">
        <v>397</v>
      </c>
      <c r="M140" s="5" t="s">
        <v>105</v>
      </c>
      <c r="N140" s="5" t="s">
        <v>383</v>
      </c>
      <c r="O140" s="5">
        <v>1E-3</v>
      </c>
      <c r="P140" s="91"/>
      <c r="Q140" s="91"/>
      <c r="R140" s="287">
        <v>8.8838600000000003</v>
      </c>
      <c r="S140" s="91"/>
      <c r="T140" s="91"/>
      <c r="U140" s="91"/>
      <c r="V140" s="99">
        <f t="shared" si="4"/>
        <v>8.8840000000000003</v>
      </c>
      <c r="W140" s="34"/>
      <c r="X140" s="34"/>
      <c r="Y140" s="34"/>
      <c r="Z140" s="34"/>
      <c r="AA140" s="34"/>
      <c r="AB140" s="34"/>
      <c r="AC140" s="34"/>
      <c r="AD140" s="34"/>
      <c r="AE140" s="34"/>
      <c r="AF140" s="34"/>
      <c r="AG140" s="34"/>
      <c r="AH140" s="34"/>
      <c r="AI140" s="34" t="s">
        <v>296</v>
      </c>
      <c r="AJ140" s="34"/>
      <c r="AK140" s="34"/>
      <c r="AL140" s="34"/>
      <c r="AM140" s="34"/>
      <c r="AN140" s="34"/>
      <c r="AO140" s="34"/>
      <c r="AP140" s="34"/>
      <c r="AQ140" s="34"/>
      <c r="AR140" s="34"/>
      <c r="AS140" s="34"/>
      <c r="AT140" s="34"/>
      <c r="AU140" s="34"/>
      <c r="AV140" s="34"/>
      <c r="AW140" s="34"/>
      <c r="AX140" s="34"/>
      <c r="AY140" s="34"/>
      <c r="AZ140" s="34"/>
      <c r="BA140" s="5"/>
    </row>
    <row r="141" spans="1:53" ht="15" thickBot="1" x14ac:dyDescent="0.4">
      <c r="A141" s="24" t="s">
        <v>297</v>
      </c>
      <c r="B141" s="24" t="s">
        <v>297</v>
      </c>
      <c r="C141" s="24" t="s">
        <v>297</v>
      </c>
      <c r="D141" s="24" t="s">
        <v>297</v>
      </c>
      <c r="E141" s="24" t="s">
        <v>296</v>
      </c>
      <c r="F141" s="24" t="s">
        <v>297</v>
      </c>
      <c r="G141" s="24" t="s">
        <v>297</v>
      </c>
      <c r="H141" s="24" t="s">
        <v>297</v>
      </c>
      <c r="I141" s="24" t="s">
        <v>297</v>
      </c>
      <c r="J141" s="5" t="s">
        <v>18</v>
      </c>
      <c r="K141" s="5" t="s">
        <v>396</v>
      </c>
      <c r="L141" s="5" t="s">
        <v>104</v>
      </c>
      <c r="M141" s="5" t="s">
        <v>105</v>
      </c>
      <c r="N141" s="5" t="s">
        <v>383</v>
      </c>
      <c r="O141" s="5">
        <v>1E-3</v>
      </c>
      <c r="P141" s="91"/>
      <c r="Q141" s="91"/>
      <c r="R141" s="287">
        <v>925.24423000000002</v>
      </c>
      <c r="S141" s="91"/>
      <c r="T141" s="91"/>
      <c r="U141" s="91"/>
      <c r="V141" s="99">
        <f t="shared" si="4"/>
        <v>925.24400000000003</v>
      </c>
      <c r="W141" s="34"/>
      <c r="X141" s="34"/>
      <c r="Y141" s="34"/>
      <c r="Z141" s="34"/>
      <c r="AA141" s="34"/>
      <c r="AB141" s="34"/>
      <c r="AC141" s="34"/>
      <c r="AD141" s="34"/>
      <c r="AE141" s="34"/>
      <c r="AF141" s="34"/>
      <c r="AG141" s="34"/>
      <c r="AH141" s="34"/>
      <c r="AI141" s="34" t="s">
        <v>296</v>
      </c>
      <c r="AJ141" s="34"/>
      <c r="AK141" s="34"/>
      <c r="AL141" s="34"/>
      <c r="AM141" s="34"/>
      <c r="AN141" s="34"/>
      <c r="AO141" s="34"/>
      <c r="AP141" s="34"/>
      <c r="AQ141" s="34"/>
      <c r="AR141" s="34"/>
      <c r="AS141" s="34"/>
      <c r="AT141" s="34"/>
      <c r="AU141" s="34"/>
      <c r="AV141" s="34"/>
      <c r="AW141" s="34"/>
      <c r="AX141" s="34"/>
      <c r="AY141" s="34"/>
      <c r="AZ141" s="34"/>
      <c r="BA141" s="5"/>
    </row>
    <row r="142" spans="1:53" ht="15" thickBot="1" x14ac:dyDescent="0.4">
      <c r="A142" s="24" t="s">
        <v>297</v>
      </c>
      <c r="B142" s="24" t="s">
        <v>297</v>
      </c>
      <c r="C142" s="24" t="s">
        <v>297</v>
      </c>
      <c r="D142" s="24" t="s">
        <v>297</v>
      </c>
      <c r="E142" s="24" t="s">
        <v>296</v>
      </c>
      <c r="F142" s="24" t="s">
        <v>297</v>
      </c>
      <c r="G142" s="24" t="s">
        <v>297</v>
      </c>
      <c r="H142" s="24" t="s">
        <v>297</v>
      </c>
      <c r="I142" s="24" t="s">
        <v>297</v>
      </c>
      <c r="J142" s="5" t="s">
        <v>18</v>
      </c>
      <c r="K142" s="5" t="s">
        <v>103</v>
      </c>
      <c r="L142" s="5" t="s">
        <v>393</v>
      </c>
      <c r="M142" s="5" t="s">
        <v>105</v>
      </c>
      <c r="N142" s="5" t="s">
        <v>383</v>
      </c>
      <c r="O142" s="5">
        <v>1E-3</v>
      </c>
      <c r="P142" s="91"/>
      <c r="Q142" s="91"/>
      <c r="R142" s="287">
        <v>6.4106100000000001</v>
      </c>
      <c r="S142" s="91"/>
      <c r="T142" s="91"/>
      <c r="U142" s="91"/>
      <c r="V142" s="99">
        <f t="shared" si="4"/>
        <v>6.4109999999999996</v>
      </c>
      <c r="W142" s="34"/>
      <c r="X142" s="34"/>
      <c r="Y142" s="34"/>
      <c r="Z142" s="34"/>
      <c r="AA142" s="34"/>
      <c r="AB142" s="34"/>
      <c r="AC142" s="34"/>
      <c r="AD142" s="34"/>
      <c r="AE142" s="34"/>
      <c r="AF142" s="34"/>
      <c r="AG142" s="34"/>
      <c r="AH142" s="34"/>
      <c r="AI142" s="34" t="s">
        <v>296</v>
      </c>
      <c r="AJ142" s="34"/>
      <c r="AK142" s="34"/>
      <c r="AL142" s="34"/>
      <c r="AM142" s="34"/>
      <c r="AN142" s="34"/>
      <c r="AO142" s="34"/>
      <c r="AP142" s="34"/>
      <c r="AQ142" s="34"/>
      <c r="AR142" s="34"/>
      <c r="AS142" s="34"/>
      <c r="AT142" s="34"/>
      <c r="AU142" s="34"/>
      <c r="AV142" s="34"/>
      <c r="AW142" s="34"/>
      <c r="AX142" s="34"/>
      <c r="AY142" s="34"/>
      <c r="AZ142" s="34"/>
      <c r="BA142" s="5"/>
    </row>
    <row r="143" spans="1:53" ht="15" thickBot="1" x14ac:dyDescent="0.4">
      <c r="A143" s="24" t="s">
        <v>297</v>
      </c>
      <c r="B143" s="24" t="s">
        <v>297</v>
      </c>
      <c r="C143" s="24" t="s">
        <v>297</v>
      </c>
      <c r="D143" s="24" t="s">
        <v>297</v>
      </c>
      <c r="E143" s="24" t="s">
        <v>296</v>
      </c>
      <c r="F143" s="24" t="s">
        <v>297</v>
      </c>
      <c r="G143" s="24" t="s">
        <v>297</v>
      </c>
      <c r="H143" s="24" t="s">
        <v>297</v>
      </c>
      <c r="I143" s="24" t="s">
        <v>297</v>
      </c>
      <c r="J143" s="5" t="s">
        <v>18</v>
      </c>
      <c r="K143" s="5" t="s">
        <v>103</v>
      </c>
      <c r="L143" s="5" t="s">
        <v>104</v>
      </c>
      <c r="M143" s="5" t="s">
        <v>105</v>
      </c>
      <c r="N143" s="5" t="s">
        <v>383</v>
      </c>
      <c r="O143" s="5">
        <v>1E-3</v>
      </c>
      <c r="P143" s="91"/>
      <c r="Q143" s="91"/>
      <c r="R143" s="287">
        <v>497.04415999999998</v>
      </c>
      <c r="S143" s="91"/>
      <c r="T143" s="91"/>
      <c r="U143" s="91"/>
      <c r="V143" s="99">
        <f t="shared" si="4"/>
        <v>497.04399999999998</v>
      </c>
      <c r="W143" s="34"/>
      <c r="X143" s="34"/>
      <c r="Y143" s="34"/>
      <c r="Z143" s="34"/>
      <c r="AA143" s="34"/>
      <c r="AB143" s="34"/>
      <c r="AC143" s="34"/>
      <c r="AD143" s="34"/>
      <c r="AE143" s="34"/>
      <c r="AF143" s="34"/>
      <c r="AG143" s="34"/>
      <c r="AH143" s="34"/>
      <c r="AI143" s="34" t="s">
        <v>296</v>
      </c>
      <c r="AJ143" s="34"/>
      <c r="AK143" s="34"/>
      <c r="AL143" s="34"/>
      <c r="AM143" s="34"/>
      <c r="AN143" s="34"/>
      <c r="AO143" s="34"/>
      <c r="AP143" s="34"/>
      <c r="AQ143" s="34"/>
      <c r="AR143" s="34"/>
      <c r="AS143" s="34"/>
      <c r="AT143" s="34"/>
      <c r="AU143" s="34"/>
      <c r="AV143" s="34"/>
      <c r="AW143" s="34"/>
      <c r="AX143" s="34"/>
      <c r="AY143" s="34"/>
      <c r="AZ143" s="34"/>
      <c r="BA143" s="5"/>
    </row>
    <row r="144" spans="1:53" ht="15" thickBot="1" x14ac:dyDescent="0.4">
      <c r="A144" s="24" t="s">
        <v>297</v>
      </c>
      <c r="B144" s="24" t="s">
        <v>297</v>
      </c>
      <c r="C144" s="24" t="s">
        <v>297</v>
      </c>
      <c r="D144" s="24" t="s">
        <v>297</v>
      </c>
      <c r="E144" s="24" t="s">
        <v>296</v>
      </c>
      <c r="F144" s="24" t="s">
        <v>297</v>
      </c>
      <c r="G144" s="24" t="s">
        <v>297</v>
      </c>
      <c r="H144" s="24" t="s">
        <v>297</v>
      </c>
      <c r="I144" s="24" t="s">
        <v>297</v>
      </c>
      <c r="J144" s="5" t="s">
        <v>345</v>
      </c>
      <c r="K144" s="188" t="s">
        <v>958</v>
      </c>
      <c r="L144" s="5" t="s">
        <v>957</v>
      </c>
      <c r="M144" s="5" t="s">
        <v>955</v>
      </c>
      <c r="N144" s="5"/>
      <c r="O144" s="5"/>
      <c r="P144" s="287">
        <v>0.11926</v>
      </c>
      <c r="Q144" s="91"/>
      <c r="R144" s="91"/>
      <c r="S144" s="91"/>
      <c r="T144" s="91"/>
      <c r="U144" s="91"/>
      <c r="V144" s="91"/>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t="s">
        <v>296</v>
      </c>
      <c r="AS144" s="34"/>
      <c r="AT144" s="34"/>
      <c r="AU144" s="34"/>
      <c r="AV144" s="34"/>
      <c r="AW144" s="34"/>
      <c r="AX144" s="34"/>
      <c r="AY144" s="34"/>
      <c r="AZ144" s="34"/>
      <c r="BA144" s="5" t="s">
        <v>972</v>
      </c>
    </row>
    <row r="145" spans="1:53" ht="26.5" thickBot="1" x14ac:dyDescent="0.4">
      <c r="A145" s="24" t="s">
        <v>297</v>
      </c>
      <c r="B145" s="24" t="s">
        <v>297</v>
      </c>
      <c r="C145" s="24" t="s">
        <v>297</v>
      </c>
      <c r="D145" s="24" t="s">
        <v>297</v>
      </c>
      <c r="E145" s="24" t="s">
        <v>296</v>
      </c>
      <c r="F145" s="24" t="s">
        <v>297</v>
      </c>
      <c r="G145" s="24" t="s">
        <v>297</v>
      </c>
      <c r="H145" s="24" t="s">
        <v>297</v>
      </c>
      <c r="I145" s="24" t="s">
        <v>297</v>
      </c>
      <c r="J145" s="5" t="s">
        <v>345</v>
      </c>
      <c r="K145" s="188" t="s">
        <v>958</v>
      </c>
      <c r="L145" s="188" t="s">
        <v>956</v>
      </c>
      <c r="M145" s="5" t="s">
        <v>955</v>
      </c>
      <c r="N145" s="5"/>
      <c r="O145" s="5"/>
      <c r="P145" s="287">
        <v>0.20077</v>
      </c>
      <c r="Q145" s="91"/>
      <c r="R145" s="91"/>
      <c r="S145" s="91"/>
      <c r="T145" s="91"/>
      <c r="U145" s="91"/>
      <c r="V145" s="91"/>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t="s">
        <v>296</v>
      </c>
      <c r="AS145" s="34"/>
      <c r="AT145" s="34"/>
      <c r="AU145" s="34"/>
      <c r="AV145" s="34"/>
      <c r="AW145" s="34"/>
      <c r="AX145" s="34"/>
      <c r="AY145" s="34"/>
      <c r="AZ145" s="34"/>
      <c r="BA145" s="5" t="s">
        <v>972</v>
      </c>
    </row>
    <row r="146" spans="1:53" ht="39.5" thickBot="1" x14ac:dyDescent="0.4">
      <c r="A146" s="24" t="s">
        <v>297</v>
      </c>
      <c r="B146" s="24" t="s">
        <v>297</v>
      </c>
      <c r="C146" s="24" t="s">
        <v>297</v>
      </c>
      <c r="D146" s="24" t="s">
        <v>297</v>
      </c>
      <c r="E146" s="24" t="s">
        <v>296</v>
      </c>
      <c r="F146" s="24" t="s">
        <v>297</v>
      </c>
      <c r="G146" s="24" t="s">
        <v>297</v>
      </c>
      <c r="H146" s="24" t="s">
        <v>297</v>
      </c>
      <c r="I146" s="24" t="s">
        <v>297</v>
      </c>
      <c r="J146" s="188" t="s">
        <v>684</v>
      </c>
      <c r="K146" s="5" t="s">
        <v>103</v>
      </c>
      <c r="L146" s="5" t="s">
        <v>393</v>
      </c>
      <c r="M146" s="5" t="s">
        <v>105</v>
      </c>
      <c r="N146" s="5" t="s">
        <v>383</v>
      </c>
      <c r="O146" s="5">
        <v>1E-3</v>
      </c>
      <c r="P146" s="91"/>
      <c r="Q146" s="91"/>
      <c r="R146" s="287">
        <v>0</v>
      </c>
      <c r="S146" s="91"/>
      <c r="T146" s="91"/>
      <c r="U146" s="91"/>
      <c r="V146" s="99">
        <f t="shared" ref="V146:V209" si="5">ROUND(SUM(P146:U146),3)</f>
        <v>0</v>
      </c>
      <c r="W146" s="34"/>
      <c r="X146" s="34"/>
      <c r="Y146" s="34"/>
      <c r="Z146" s="34"/>
      <c r="AA146" s="34"/>
      <c r="AB146" s="34"/>
      <c r="AC146" s="34"/>
      <c r="AD146" s="34"/>
      <c r="AE146" s="34"/>
      <c r="AF146" s="34"/>
      <c r="AG146" s="34"/>
      <c r="AH146" s="34"/>
      <c r="AI146" s="34" t="s">
        <v>296</v>
      </c>
      <c r="AJ146" s="34"/>
      <c r="AK146" s="34"/>
      <c r="AL146" s="34"/>
      <c r="AM146" s="34"/>
      <c r="AN146" s="34"/>
      <c r="AO146" s="34"/>
      <c r="AP146" s="34"/>
      <c r="AQ146" s="34"/>
      <c r="AR146" s="34" t="s">
        <v>296</v>
      </c>
      <c r="AS146" s="34"/>
      <c r="AT146" s="34"/>
      <c r="AU146" s="34"/>
      <c r="AV146" s="34"/>
      <c r="AW146" s="34"/>
      <c r="AX146" s="34"/>
      <c r="AY146" s="34"/>
      <c r="AZ146" s="34"/>
      <c r="BA146" s="5" t="s">
        <v>1047</v>
      </c>
    </row>
    <row r="147" spans="1:53" ht="78.5" thickBot="1" x14ac:dyDescent="0.4">
      <c r="A147" s="24" t="s">
        <v>297</v>
      </c>
      <c r="B147" s="24" t="s">
        <v>297</v>
      </c>
      <c r="C147" s="24" t="s">
        <v>297</v>
      </c>
      <c r="D147" s="24" t="s">
        <v>297</v>
      </c>
      <c r="E147" s="24" t="s">
        <v>296</v>
      </c>
      <c r="F147" s="24" t="s">
        <v>297</v>
      </c>
      <c r="G147" s="24" t="s">
        <v>297</v>
      </c>
      <c r="H147" s="24" t="s">
        <v>297</v>
      </c>
      <c r="I147" s="24" t="s">
        <v>297</v>
      </c>
      <c r="J147" s="188" t="s">
        <v>684</v>
      </c>
      <c r="K147" s="5" t="s">
        <v>103</v>
      </c>
      <c r="L147" s="5" t="s">
        <v>104</v>
      </c>
      <c r="M147" s="5" t="s">
        <v>105</v>
      </c>
      <c r="N147" s="5" t="s">
        <v>383</v>
      </c>
      <c r="O147" s="5">
        <v>1E-3</v>
      </c>
      <c r="P147" s="91"/>
      <c r="Q147" s="91"/>
      <c r="R147" s="287">
        <f>R143-(10*2*P145)</f>
        <v>493.02875999999998</v>
      </c>
      <c r="S147" s="91"/>
      <c r="T147" s="91"/>
      <c r="U147" s="91"/>
      <c r="V147" s="99">
        <f t="shared" si="5"/>
        <v>493.029</v>
      </c>
      <c r="W147" s="34"/>
      <c r="X147" s="34"/>
      <c r="Y147" s="34"/>
      <c r="Z147" s="34"/>
      <c r="AA147" s="34"/>
      <c r="AB147" s="34"/>
      <c r="AC147" s="34"/>
      <c r="AD147" s="34"/>
      <c r="AE147" s="34"/>
      <c r="AF147" s="34"/>
      <c r="AG147" s="34"/>
      <c r="AH147" s="34"/>
      <c r="AI147" s="34" t="s">
        <v>296</v>
      </c>
      <c r="AJ147" s="34"/>
      <c r="AK147" s="34"/>
      <c r="AL147" s="34"/>
      <c r="AM147" s="34"/>
      <c r="AN147" s="34"/>
      <c r="AO147" s="34"/>
      <c r="AP147" s="34"/>
      <c r="AQ147" s="34"/>
      <c r="AR147" s="34" t="s">
        <v>296</v>
      </c>
      <c r="AS147" s="34"/>
      <c r="AT147" s="34"/>
      <c r="AU147" s="34"/>
      <c r="AV147" s="34"/>
      <c r="AW147" s="34"/>
      <c r="AX147" s="34"/>
      <c r="AY147" s="34"/>
      <c r="AZ147" s="34"/>
      <c r="BA147" s="5" t="s">
        <v>1048</v>
      </c>
    </row>
    <row r="148" spans="1:53" ht="26.5" thickBot="1" x14ac:dyDescent="0.4">
      <c r="A148" s="24" t="s">
        <v>297</v>
      </c>
      <c r="B148" s="24" t="s">
        <v>297</v>
      </c>
      <c r="C148" s="24" t="s">
        <v>297</v>
      </c>
      <c r="D148" s="24" t="s">
        <v>297</v>
      </c>
      <c r="E148" s="24" t="s">
        <v>296</v>
      </c>
      <c r="F148" s="24" t="s">
        <v>297</v>
      </c>
      <c r="G148" s="24" t="s">
        <v>297</v>
      </c>
      <c r="H148" s="24" t="s">
        <v>297</v>
      </c>
      <c r="I148" s="24" t="s">
        <v>297</v>
      </c>
      <c r="J148" s="5" t="s">
        <v>18</v>
      </c>
      <c r="K148" s="5" t="s">
        <v>399</v>
      </c>
      <c r="L148" s="5" t="s">
        <v>107</v>
      </c>
      <c r="M148" s="5" t="s">
        <v>105</v>
      </c>
      <c r="N148" s="5" t="s">
        <v>383</v>
      </c>
      <c r="O148" s="5">
        <v>1E-3</v>
      </c>
      <c r="P148" s="91"/>
      <c r="Q148" s="91"/>
      <c r="R148" s="287">
        <v>6.4106100000000001</v>
      </c>
      <c r="S148" s="91"/>
      <c r="T148" s="91"/>
      <c r="U148" s="91"/>
      <c r="V148" s="99">
        <f t="shared" si="5"/>
        <v>6.4109999999999996</v>
      </c>
      <c r="W148" s="34"/>
      <c r="X148" s="34"/>
      <c r="Y148" s="34"/>
      <c r="Z148" s="34"/>
      <c r="AA148" s="34"/>
      <c r="AB148" s="34"/>
      <c r="AC148" s="34"/>
      <c r="AD148" s="34"/>
      <c r="AE148" s="34"/>
      <c r="AF148" s="34"/>
      <c r="AG148" s="34"/>
      <c r="AH148" s="34"/>
      <c r="AI148" s="34" t="s">
        <v>296</v>
      </c>
      <c r="AJ148" s="34"/>
      <c r="AK148" s="34"/>
      <c r="AL148" s="34"/>
      <c r="AM148" s="34"/>
      <c r="AN148" s="34"/>
      <c r="AO148" s="34"/>
      <c r="AP148" s="34"/>
      <c r="AQ148" s="34"/>
      <c r="AR148" s="34"/>
      <c r="AS148" s="34"/>
      <c r="AT148" s="34"/>
      <c r="AU148" s="34"/>
      <c r="AV148" s="34"/>
      <c r="AW148" s="34"/>
      <c r="AX148" s="34"/>
      <c r="AY148" s="34"/>
      <c r="AZ148" s="34"/>
      <c r="BA148" s="5"/>
    </row>
    <row r="149" spans="1:53" ht="26.5" thickBot="1" x14ac:dyDescent="0.4">
      <c r="A149" s="24" t="s">
        <v>297</v>
      </c>
      <c r="B149" s="24" t="s">
        <v>297</v>
      </c>
      <c r="C149" s="24" t="s">
        <v>297</v>
      </c>
      <c r="D149" s="24" t="s">
        <v>297</v>
      </c>
      <c r="E149" s="24" t="s">
        <v>296</v>
      </c>
      <c r="F149" s="24" t="s">
        <v>297</v>
      </c>
      <c r="G149" s="24" t="s">
        <v>297</v>
      </c>
      <c r="H149" s="24" t="s">
        <v>297</v>
      </c>
      <c r="I149" s="24" t="s">
        <v>297</v>
      </c>
      <c r="J149" s="5" t="s">
        <v>18</v>
      </c>
      <c r="K149" s="5" t="s">
        <v>399</v>
      </c>
      <c r="L149" s="5" t="s">
        <v>393</v>
      </c>
      <c r="M149" s="5" t="s">
        <v>105</v>
      </c>
      <c r="N149" s="5" t="s">
        <v>383</v>
      </c>
      <c r="O149" s="5">
        <v>1E-3</v>
      </c>
      <c r="P149" s="91"/>
      <c r="Q149" s="91"/>
      <c r="R149" s="287">
        <v>6.4106100000000001</v>
      </c>
      <c r="S149" s="91"/>
      <c r="T149" s="91"/>
      <c r="U149" s="91"/>
      <c r="V149" s="99">
        <f t="shared" si="5"/>
        <v>6.4109999999999996</v>
      </c>
      <c r="W149" s="34"/>
      <c r="X149" s="34"/>
      <c r="Y149" s="34"/>
      <c r="Z149" s="34"/>
      <c r="AA149" s="34"/>
      <c r="AB149" s="34"/>
      <c r="AC149" s="34"/>
      <c r="AD149" s="34"/>
      <c r="AE149" s="34"/>
      <c r="AF149" s="34"/>
      <c r="AG149" s="34"/>
      <c r="AH149" s="34"/>
      <c r="AI149" s="34" t="s">
        <v>296</v>
      </c>
      <c r="AJ149" s="34"/>
      <c r="AK149" s="34"/>
      <c r="AL149" s="34"/>
      <c r="AM149" s="34"/>
      <c r="AN149" s="34"/>
      <c r="AO149" s="34"/>
      <c r="AP149" s="34"/>
      <c r="AQ149" s="34"/>
      <c r="AR149" s="34"/>
      <c r="AS149" s="34"/>
      <c r="AT149" s="34"/>
      <c r="AU149" s="34"/>
      <c r="AV149" s="34"/>
      <c r="AW149" s="34"/>
      <c r="AX149" s="34"/>
      <c r="AY149" s="34"/>
      <c r="AZ149" s="34"/>
      <c r="BA149" s="5"/>
    </row>
    <row r="150" spans="1:53" ht="26.5" thickBot="1" x14ac:dyDescent="0.4">
      <c r="A150" s="24" t="s">
        <v>297</v>
      </c>
      <c r="B150" s="24" t="s">
        <v>297</v>
      </c>
      <c r="C150" s="24" t="s">
        <v>297</v>
      </c>
      <c r="D150" s="24" t="s">
        <v>297</v>
      </c>
      <c r="E150" s="24" t="s">
        <v>296</v>
      </c>
      <c r="F150" s="24" t="s">
        <v>297</v>
      </c>
      <c r="G150" s="24" t="s">
        <v>297</v>
      </c>
      <c r="H150" s="24" t="s">
        <v>297</v>
      </c>
      <c r="I150" s="24" t="s">
        <v>297</v>
      </c>
      <c r="J150" s="5" t="s">
        <v>18</v>
      </c>
      <c r="K150" s="5" t="s">
        <v>399</v>
      </c>
      <c r="L150" s="5" t="s">
        <v>104</v>
      </c>
      <c r="M150" s="5" t="s">
        <v>105</v>
      </c>
      <c r="N150" s="5" t="s">
        <v>383</v>
      </c>
      <c r="O150" s="5">
        <v>1E-3</v>
      </c>
      <c r="P150" s="91"/>
      <c r="Q150" s="91"/>
      <c r="R150" s="287">
        <v>520.33420000000001</v>
      </c>
      <c r="S150" s="91"/>
      <c r="T150" s="91"/>
      <c r="U150" s="91"/>
      <c r="V150" s="99">
        <f t="shared" si="5"/>
        <v>520.33399999999995</v>
      </c>
      <c r="W150" s="34"/>
      <c r="X150" s="34"/>
      <c r="Y150" s="34"/>
      <c r="Z150" s="34"/>
      <c r="AA150" s="34"/>
      <c r="AB150" s="34"/>
      <c r="AC150" s="34"/>
      <c r="AD150" s="34"/>
      <c r="AE150" s="34"/>
      <c r="AF150" s="34"/>
      <c r="AG150" s="34"/>
      <c r="AH150" s="34"/>
      <c r="AI150" s="34" t="s">
        <v>296</v>
      </c>
      <c r="AJ150" s="34"/>
      <c r="AK150" s="34"/>
      <c r="AL150" s="34"/>
      <c r="AM150" s="34"/>
      <c r="AN150" s="34"/>
      <c r="AO150" s="34"/>
      <c r="AP150" s="34"/>
      <c r="AQ150" s="34"/>
      <c r="AR150" s="34"/>
      <c r="AS150" s="34"/>
      <c r="AT150" s="34"/>
      <c r="AU150" s="34"/>
      <c r="AV150" s="34"/>
      <c r="AW150" s="34"/>
      <c r="AX150" s="34"/>
      <c r="AY150" s="34"/>
      <c r="AZ150" s="34"/>
      <c r="BA150" s="5"/>
    </row>
    <row r="151" spans="1:53" ht="39.5" thickBot="1" x14ac:dyDescent="0.4">
      <c r="A151" s="24" t="s">
        <v>297</v>
      </c>
      <c r="B151" s="24" t="s">
        <v>297</v>
      </c>
      <c r="C151" s="24" t="s">
        <v>297</v>
      </c>
      <c r="D151" s="24" t="s">
        <v>297</v>
      </c>
      <c r="E151" s="24" t="s">
        <v>296</v>
      </c>
      <c r="F151" s="24" t="s">
        <v>297</v>
      </c>
      <c r="G151" s="24" t="s">
        <v>297</v>
      </c>
      <c r="H151" s="24" t="s">
        <v>297</v>
      </c>
      <c r="I151" s="24" t="s">
        <v>297</v>
      </c>
      <c r="J151" s="188" t="s">
        <v>684</v>
      </c>
      <c r="K151" s="5" t="s">
        <v>399</v>
      </c>
      <c r="L151" s="5" t="s">
        <v>107</v>
      </c>
      <c r="M151" s="5" t="s">
        <v>105</v>
      </c>
      <c r="N151" s="5" t="s">
        <v>383</v>
      </c>
      <c r="O151" s="5">
        <v>1E-3</v>
      </c>
      <c r="P151" s="91"/>
      <c r="Q151" s="91"/>
      <c r="R151" s="287">
        <v>0</v>
      </c>
      <c r="S151" s="91"/>
      <c r="T151" s="91"/>
      <c r="U151" s="91"/>
      <c r="V151" s="99">
        <f t="shared" si="5"/>
        <v>0</v>
      </c>
      <c r="W151" s="34"/>
      <c r="X151" s="34"/>
      <c r="Y151" s="34"/>
      <c r="Z151" s="34"/>
      <c r="AA151" s="34"/>
      <c r="AB151" s="34"/>
      <c r="AC151" s="34"/>
      <c r="AD151" s="34"/>
      <c r="AE151" s="34"/>
      <c r="AF151" s="34"/>
      <c r="AG151" s="34"/>
      <c r="AH151" s="34"/>
      <c r="AI151" s="34" t="s">
        <v>296</v>
      </c>
      <c r="AJ151" s="34"/>
      <c r="AK151" s="34"/>
      <c r="AL151" s="34"/>
      <c r="AM151" s="34"/>
      <c r="AN151" s="34"/>
      <c r="AO151" s="34"/>
      <c r="AP151" s="34"/>
      <c r="AQ151" s="34"/>
      <c r="AR151" s="34" t="s">
        <v>296</v>
      </c>
      <c r="AS151" s="34"/>
      <c r="AT151" s="34"/>
      <c r="AU151" s="34"/>
      <c r="AV151" s="34"/>
      <c r="AW151" s="34"/>
      <c r="AX151" s="34"/>
      <c r="AY151" s="34"/>
      <c r="AZ151" s="34"/>
      <c r="BA151" s="5" t="s">
        <v>1047</v>
      </c>
    </row>
    <row r="152" spans="1:53" ht="39.5" thickBot="1" x14ac:dyDescent="0.4">
      <c r="A152" s="24" t="s">
        <v>297</v>
      </c>
      <c r="B152" s="24" t="s">
        <v>297</v>
      </c>
      <c r="C152" s="24" t="s">
        <v>297</v>
      </c>
      <c r="D152" s="24" t="s">
        <v>297</v>
      </c>
      <c r="E152" s="24" t="s">
        <v>296</v>
      </c>
      <c r="F152" s="24" t="s">
        <v>297</v>
      </c>
      <c r="G152" s="24" t="s">
        <v>297</v>
      </c>
      <c r="H152" s="24" t="s">
        <v>297</v>
      </c>
      <c r="I152" s="24" t="s">
        <v>297</v>
      </c>
      <c r="J152" s="188" t="s">
        <v>684</v>
      </c>
      <c r="K152" s="5" t="s">
        <v>399</v>
      </c>
      <c r="L152" s="5" t="s">
        <v>393</v>
      </c>
      <c r="M152" s="5" t="s">
        <v>105</v>
      </c>
      <c r="N152" s="5" t="s">
        <v>383</v>
      </c>
      <c r="O152" s="5">
        <v>1E-3</v>
      </c>
      <c r="P152" s="91"/>
      <c r="Q152" s="91"/>
      <c r="R152" s="287">
        <v>0</v>
      </c>
      <c r="S152" s="91"/>
      <c r="T152" s="91"/>
      <c r="U152" s="91"/>
      <c r="V152" s="99">
        <f t="shared" si="5"/>
        <v>0</v>
      </c>
      <c r="W152" s="34"/>
      <c r="X152" s="34"/>
      <c r="Y152" s="34"/>
      <c r="Z152" s="34"/>
      <c r="AA152" s="34"/>
      <c r="AB152" s="34"/>
      <c r="AC152" s="34"/>
      <c r="AD152" s="34"/>
      <c r="AE152" s="34"/>
      <c r="AF152" s="34"/>
      <c r="AG152" s="34"/>
      <c r="AH152" s="34"/>
      <c r="AI152" s="34" t="s">
        <v>296</v>
      </c>
      <c r="AJ152" s="34"/>
      <c r="AK152" s="34"/>
      <c r="AL152" s="34"/>
      <c r="AM152" s="34"/>
      <c r="AN152" s="34"/>
      <c r="AO152" s="34"/>
      <c r="AP152" s="34"/>
      <c r="AQ152" s="34"/>
      <c r="AR152" s="34" t="s">
        <v>296</v>
      </c>
      <c r="AS152" s="34"/>
      <c r="AT152" s="34"/>
      <c r="AU152" s="34"/>
      <c r="AV152" s="34"/>
      <c r="AW152" s="34"/>
      <c r="AX152" s="34"/>
      <c r="AY152" s="34"/>
      <c r="AZ152" s="34"/>
      <c r="BA152" s="5" t="s">
        <v>1047</v>
      </c>
    </row>
    <row r="153" spans="1:53" ht="78.5" thickBot="1" x14ac:dyDescent="0.4">
      <c r="A153" s="24" t="s">
        <v>297</v>
      </c>
      <c r="B153" s="24" t="s">
        <v>297</v>
      </c>
      <c r="C153" s="24" t="s">
        <v>297</v>
      </c>
      <c r="D153" s="24" t="s">
        <v>297</v>
      </c>
      <c r="E153" s="24" t="s">
        <v>296</v>
      </c>
      <c r="F153" s="24" t="s">
        <v>297</v>
      </c>
      <c r="G153" s="24" t="s">
        <v>297</v>
      </c>
      <c r="H153" s="24" t="s">
        <v>297</v>
      </c>
      <c r="I153" s="24" t="s">
        <v>297</v>
      </c>
      <c r="J153" s="188" t="s">
        <v>684</v>
      </c>
      <c r="K153" s="5" t="s">
        <v>399</v>
      </c>
      <c r="L153" s="5" t="s">
        <v>104</v>
      </c>
      <c r="M153" s="5" t="s">
        <v>105</v>
      </c>
      <c r="N153" s="5" t="s">
        <v>383</v>
      </c>
      <c r="O153" s="5">
        <v>1E-3</v>
      </c>
      <c r="P153" s="91"/>
      <c r="Q153" s="91"/>
      <c r="R153" s="287">
        <f>R150-(10*2*P145)</f>
        <v>516.31880000000001</v>
      </c>
      <c r="S153" s="91"/>
      <c r="T153" s="91"/>
      <c r="U153" s="91"/>
      <c r="V153" s="99">
        <f t="shared" si="5"/>
        <v>516.31899999999996</v>
      </c>
      <c r="W153" s="34"/>
      <c r="X153" s="34"/>
      <c r="Y153" s="34"/>
      <c r="Z153" s="34"/>
      <c r="AA153" s="34"/>
      <c r="AB153" s="34"/>
      <c r="AC153" s="34"/>
      <c r="AD153" s="34"/>
      <c r="AE153" s="34"/>
      <c r="AF153" s="34"/>
      <c r="AG153" s="34"/>
      <c r="AH153" s="34"/>
      <c r="AI153" s="34" t="s">
        <v>296</v>
      </c>
      <c r="AJ153" s="34"/>
      <c r="AK153" s="34"/>
      <c r="AL153" s="34"/>
      <c r="AM153" s="34"/>
      <c r="AN153" s="34"/>
      <c r="AO153" s="34"/>
      <c r="AP153" s="34"/>
      <c r="AQ153" s="34"/>
      <c r="AR153" s="34" t="s">
        <v>296</v>
      </c>
      <c r="AS153" s="34"/>
      <c r="AT153" s="34"/>
      <c r="AU153" s="34"/>
      <c r="AV153" s="34"/>
      <c r="AW153" s="34"/>
      <c r="AX153" s="34"/>
      <c r="AY153" s="34"/>
      <c r="AZ153" s="34"/>
      <c r="BA153" s="5" t="s">
        <v>1048</v>
      </c>
    </row>
    <row r="154" spans="1:53" ht="15" thickBot="1" x14ac:dyDescent="0.4">
      <c r="A154" s="24" t="s">
        <v>297</v>
      </c>
      <c r="B154" s="24" t="s">
        <v>297</v>
      </c>
      <c r="C154" s="24" t="s">
        <v>297</v>
      </c>
      <c r="D154" s="24" t="s">
        <v>297</v>
      </c>
      <c r="E154" s="24" t="s">
        <v>296</v>
      </c>
      <c r="F154" s="24" t="s">
        <v>297</v>
      </c>
      <c r="G154" s="24" t="s">
        <v>297</v>
      </c>
      <c r="H154" s="24" t="s">
        <v>297</v>
      </c>
      <c r="I154" s="24" t="s">
        <v>297</v>
      </c>
      <c r="J154" s="5" t="s">
        <v>18</v>
      </c>
      <c r="K154" s="5" t="s">
        <v>106</v>
      </c>
      <c r="L154" s="5" t="s">
        <v>107</v>
      </c>
      <c r="M154" s="5" t="s">
        <v>105</v>
      </c>
      <c r="N154" s="5" t="s">
        <v>383</v>
      </c>
      <c r="O154" s="5">
        <v>1E-3</v>
      </c>
      <c r="P154" s="91"/>
      <c r="Q154" s="91"/>
      <c r="R154" s="287">
        <v>6.4106100000000001</v>
      </c>
      <c r="S154" s="91"/>
      <c r="T154" s="91"/>
      <c r="U154" s="91"/>
      <c r="V154" s="99">
        <f t="shared" si="5"/>
        <v>6.4109999999999996</v>
      </c>
      <c r="W154" s="34"/>
      <c r="X154" s="34"/>
      <c r="Y154" s="34"/>
      <c r="Z154" s="34"/>
      <c r="AA154" s="34"/>
      <c r="AB154" s="34"/>
      <c r="AC154" s="34"/>
      <c r="AD154" s="34"/>
      <c r="AE154" s="34"/>
      <c r="AF154" s="34"/>
      <c r="AG154" s="34"/>
      <c r="AH154" s="34"/>
      <c r="AI154" s="34" t="s">
        <v>296</v>
      </c>
      <c r="AJ154" s="34"/>
      <c r="AK154" s="34"/>
      <c r="AL154" s="34"/>
      <c r="AM154" s="34"/>
      <c r="AN154" s="34"/>
      <c r="AO154" s="34"/>
      <c r="AP154" s="34"/>
      <c r="AQ154" s="34"/>
      <c r="AR154" s="34"/>
      <c r="AS154" s="34"/>
      <c r="AT154" s="34"/>
      <c r="AU154" s="34"/>
      <c r="AV154" s="34"/>
      <c r="AW154" s="34"/>
      <c r="AX154" s="34"/>
      <c r="AY154" s="34"/>
      <c r="AZ154" s="34"/>
      <c r="BA154" s="5"/>
    </row>
    <row r="155" spans="1:53" ht="15" thickBot="1" x14ac:dyDescent="0.4">
      <c r="A155" s="24" t="s">
        <v>297</v>
      </c>
      <c r="B155" s="24" t="s">
        <v>297</v>
      </c>
      <c r="C155" s="24" t="s">
        <v>297</v>
      </c>
      <c r="D155" s="24" t="s">
        <v>297</v>
      </c>
      <c r="E155" s="24" t="s">
        <v>296</v>
      </c>
      <c r="F155" s="24" t="s">
        <v>297</v>
      </c>
      <c r="G155" s="24" t="s">
        <v>297</v>
      </c>
      <c r="H155" s="24" t="s">
        <v>297</v>
      </c>
      <c r="I155" s="24" t="s">
        <v>297</v>
      </c>
      <c r="J155" s="5" t="s">
        <v>18</v>
      </c>
      <c r="K155" s="199" t="s">
        <v>106</v>
      </c>
      <c r="L155" s="199" t="s">
        <v>393</v>
      </c>
      <c r="M155" s="5" t="s">
        <v>105</v>
      </c>
      <c r="N155" s="5" t="s">
        <v>383</v>
      </c>
      <c r="O155" s="5">
        <v>1E-3</v>
      </c>
      <c r="P155" s="91"/>
      <c r="Q155" s="91"/>
      <c r="R155" s="287">
        <v>6.4106100000000001</v>
      </c>
      <c r="S155" s="91"/>
      <c r="T155" s="91"/>
      <c r="U155" s="91"/>
      <c r="V155" s="99">
        <f t="shared" si="5"/>
        <v>6.4109999999999996</v>
      </c>
      <c r="W155" s="34"/>
      <c r="X155" s="34"/>
      <c r="Y155" s="34"/>
      <c r="Z155" s="34"/>
      <c r="AA155" s="34"/>
      <c r="AB155" s="34"/>
      <c r="AC155" s="34"/>
      <c r="AD155" s="34"/>
      <c r="AE155" s="34"/>
      <c r="AF155" s="34"/>
      <c r="AG155" s="34"/>
      <c r="AH155" s="34"/>
      <c r="AI155" s="34" t="s">
        <v>296</v>
      </c>
      <c r="AJ155" s="34"/>
      <c r="AK155" s="34"/>
      <c r="AL155" s="34"/>
      <c r="AM155" s="34"/>
      <c r="AN155" s="34"/>
      <c r="AO155" s="34"/>
      <c r="AP155" s="34"/>
      <c r="AQ155" s="34"/>
      <c r="AR155" s="34"/>
      <c r="AS155" s="34"/>
      <c r="AT155" s="34"/>
      <c r="AU155" s="34"/>
      <c r="AV155" s="34"/>
      <c r="AW155" s="34"/>
      <c r="AX155" s="34"/>
      <c r="AY155" s="34"/>
      <c r="AZ155" s="34"/>
      <c r="BA155" s="5"/>
    </row>
    <row r="156" spans="1:53" ht="15" thickBot="1" x14ac:dyDescent="0.4">
      <c r="A156" s="24" t="s">
        <v>297</v>
      </c>
      <c r="B156" s="24" t="s">
        <v>297</v>
      </c>
      <c r="C156" s="24" t="s">
        <v>297</v>
      </c>
      <c r="D156" s="24" t="s">
        <v>297</v>
      </c>
      <c r="E156" s="24" t="s">
        <v>296</v>
      </c>
      <c r="F156" s="24" t="s">
        <v>297</v>
      </c>
      <c r="G156" s="24" t="s">
        <v>297</v>
      </c>
      <c r="H156" s="24" t="s">
        <v>297</v>
      </c>
      <c r="I156" s="24" t="s">
        <v>297</v>
      </c>
      <c r="J156" s="5" t="s">
        <v>18</v>
      </c>
      <c r="K156" s="199" t="s">
        <v>106</v>
      </c>
      <c r="L156" s="199" t="s">
        <v>104</v>
      </c>
      <c r="M156" s="5" t="s">
        <v>105</v>
      </c>
      <c r="N156" s="5" t="s">
        <v>383</v>
      </c>
      <c r="O156" s="5">
        <v>1E-3</v>
      </c>
      <c r="P156" s="91"/>
      <c r="Q156" s="91"/>
      <c r="R156" s="287">
        <v>8.8838600000000003</v>
      </c>
      <c r="S156" s="91"/>
      <c r="T156" s="91"/>
      <c r="U156" s="91"/>
      <c r="V156" s="99">
        <f t="shared" si="5"/>
        <v>8.8840000000000003</v>
      </c>
      <c r="W156" s="34"/>
      <c r="X156" s="34"/>
      <c r="Y156" s="34"/>
      <c r="Z156" s="34"/>
      <c r="AA156" s="34"/>
      <c r="AB156" s="34"/>
      <c r="AC156" s="34"/>
      <c r="AD156" s="34"/>
      <c r="AE156" s="34"/>
      <c r="AF156" s="34"/>
      <c r="AG156" s="34"/>
      <c r="AH156" s="34"/>
      <c r="AI156" s="34" t="s">
        <v>296</v>
      </c>
      <c r="AJ156" s="34"/>
      <c r="AK156" s="34"/>
      <c r="AL156" s="34"/>
      <c r="AM156" s="34"/>
      <c r="AN156" s="34"/>
      <c r="AO156" s="34"/>
      <c r="AP156" s="34"/>
      <c r="AQ156" s="34"/>
      <c r="AR156" s="34"/>
      <c r="AS156" s="34"/>
      <c r="AT156" s="34"/>
      <c r="AU156" s="34"/>
      <c r="AV156" s="34"/>
      <c r="AW156" s="34"/>
      <c r="AX156" s="34"/>
      <c r="AY156" s="34"/>
      <c r="AZ156" s="34"/>
      <c r="BA156" s="5"/>
    </row>
    <row r="157" spans="1:53" ht="39.5" thickBot="1" x14ac:dyDescent="0.4">
      <c r="A157" s="24" t="s">
        <v>297</v>
      </c>
      <c r="B157" s="24" t="s">
        <v>297</v>
      </c>
      <c r="C157" s="24" t="s">
        <v>297</v>
      </c>
      <c r="D157" s="24" t="s">
        <v>297</v>
      </c>
      <c r="E157" s="24" t="s">
        <v>296</v>
      </c>
      <c r="F157" s="24" t="s">
        <v>297</v>
      </c>
      <c r="G157" s="24" t="s">
        <v>297</v>
      </c>
      <c r="H157" s="24" t="s">
        <v>297</v>
      </c>
      <c r="I157" s="24" t="s">
        <v>297</v>
      </c>
      <c r="J157" s="188" t="s">
        <v>684</v>
      </c>
      <c r="K157" s="5" t="s">
        <v>106</v>
      </c>
      <c r="L157" s="5" t="s">
        <v>107</v>
      </c>
      <c r="M157" s="5" t="s">
        <v>105</v>
      </c>
      <c r="N157" s="5" t="s">
        <v>383</v>
      </c>
      <c r="O157" s="5">
        <v>1E-3</v>
      </c>
      <c r="P157" s="91"/>
      <c r="Q157" s="91"/>
      <c r="R157" s="287">
        <v>0</v>
      </c>
      <c r="S157" s="91"/>
      <c r="T157" s="91"/>
      <c r="U157" s="91"/>
      <c r="V157" s="99">
        <f t="shared" si="5"/>
        <v>0</v>
      </c>
      <c r="W157" s="34"/>
      <c r="X157" s="34"/>
      <c r="Y157" s="34"/>
      <c r="Z157" s="34"/>
      <c r="AA157" s="34"/>
      <c r="AB157" s="34"/>
      <c r="AC157" s="34"/>
      <c r="AD157" s="34"/>
      <c r="AE157" s="34"/>
      <c r="AF157" s="34"/>
      <c r="AG157" s="34"/>
      <c r="AH157" s="34"/>
      <c r="AI157" s="34" t="s">
        <v>296</v>
      </c>
      <c r="AJ157" s="34"/>
      <c r="AK157" s="34"/>
      <c r="AL157" s="34"/>
      <c r="AM157" s="34"/>
      <c r="AN157" s="34"/>
      <c r="AO157" s="34"/>
      <c r="AP157" s="34"/>
      <c r="AQ157" s="34"/>
      <c r="AR157" s="34" t="s">
        <v>296</v>
      </c>
      <c r="AS157" s="34"/>
      <c r="AT157" s="34"/>
      <c r="AU157" s="34"/>
      <c r="AV157" s="34"/>
      <c r="AW157" s="34"/>
      <c r="AX157" s="34"/>
      <c r="AY157" s="34"/>
      <c r="AZ157" s="34"/>
      <c r="BA157" s="5" t="s">
        <v>1047</v>
      </c>
    </row>
    <row r="158" spans="1:53" ht="39.5" thickBot="1" x14ac:dyDescent="0.4">
      <c r="A158" s="24" t="s">
        <v>297</v>
      </c>
      <c r="B158" s="24" t="s">
        <v>297</v>
      </c>
      <c r="C158" s="24" t="s">
        <v>297</v>
      </c>
      <c r="D158" s="24" t="s">
        <v>297</v>
      </c>
      <c r="E158" s="24" t="s">
        <v>296</v>
      </c>
      <c r="F158" s="24" t="s">
        <v>297</v>
      </c>
      <c r="G158" s="24" t="s">
        <v>297</v>
      </c>
      <c r="H158" s="24" t="s">
        <v>297</v>
      </c>
      <c r="I158" s="24" t="s">
        <v>297</v>
      </c>
      <c r="J158" s="188" t="s">
        <v>684</v>
      </c>
      <c r="K158" s="5" t="s">
        <v>106</v>
      </c>
      <c r="L158" s="5" t="s">
        <v>393</v>
      </c>
      <c r="M158" s="5" t="s">
        <v>105</v>
      </c>
      <c r="N158" s="5" t="s">
        <v>383</v>
      </c>
      <c r="O158" s="5">
        <v>1E-3</v>
      </c>
      <c r="P158" s="91"/>
      <c r="Q158" s="91"/>
      <c r="R158" s="287">
        <v>0</v>
      </c>
      <c r="S158" s="91"/>
      <c r="T158" s="91"/>
      <c r="U158" s="91"/>
      <c r="V158" s="99">
        <f t="shared" si="5"/>
        <v>0</v>
      </c>
      <c r="W158" s="34"/>
      <c r="X158" s="34"/>
      <c r="Y158" s="34"/>
      <c r="Z158" s="34"/>
      <c r="AA158" s="34"/>
      <c r="AB158" s="34"/>
      <c r="AC158" s="34"/>
      <c r="AD158" s="34"/>
      <c r="AE158" s="34"/>
      <c r="AF158" s="34"/>
      <c r="AG158" s="34"/>
      <c r="AH158" s="34"/>
      <c r="AI158" s="34" t="s">
        <v>296</v>
      </c>
      <c r="AJ158" s="34"/>
      <c r="AK158" s="34"/>
      <c r="AL158" s="34"/>
      <c r="AM158" s="34"/>
      <c r="AN158" s="34"/>
      <c r="AO158" s="34"/>
      <c r="AP158" s="34"/>
      <c r="AQ158" s="34"/>
      <c r="AR158" s="34" t="s">
        <v>296</v>
      </c>
      <c r="AS158" s="34"/>
      <c r="AT158" s="34"/>
      <c r="AU158" s="34"/>
      <c r="AV158" s="34"/>
      <c r="AW158" s="34"/>
      <c r="AX158" s="34"/>
      <c r="AY158" s="34"/>
      <c r="AZ158" s="34"/>
      <c r="BA158" s="5" t="s">
        <v>1047</v>
      </c>
    </row>
    <row r="159" spans="1:53" ht="78.5" thickBot="1" x14ac:dyDescent="0.4">
      <c r="A159" s="24" t="s">
        <v>297</v>
      </c>
      <c r="B159" s="24" t="s">
        <v>297</v>
      </c>
      <c r="C159" s="24" t="s">
        <v>297</v>
      </c>
      <c r="D159" s="24" t="s">
        <v>297</v>
      </c>
      <c r="E159" s="24" t="s">
        <v>296</v>
      </c>
      <c r="F159" s="24" t="s">
        <v>297</v>
      </c>
      <c r="G159" s="24" t="s">
        <v>297</v>
      </c>
      <c r="H159" s="24" t="s">
        <v>297</v>
      </c>
      <c r="I159" s="24" t="s">
        <v>297</v>
      </c>
      <c r="J159" s="188" t="s">
        <v>684</v>
      </c>
      <c r="K159" s="5" t="s">
        <v>106</v>
      </c>
      <c r="L159" s="5" t="s">
        <v>104</v>
      </c>
      <c r="M159" s="5" t="s">
        <v>105</v>
      </c>
      <c r="N159" s="5" t="s">
        <v>383</v>
      </c>
      <c r="O159" s="5">
        <v>1E-3</v>
      </c>
      <c r="P159" s="91"/>
      <c r="Q159" s="91"/>
      <c r="R159" s="287">
        <f>R156-(10*2*P145)</f>
        <v>4.8684600000000007</v>
      </c>
      <c r="S159" s="91"/>
      <c r="T159" s="91"/>
      <c r="U159" s="91"/>
      <c r="V159" s="99">
        <f t="shared" si="5"/>
        <v>4.8680000000000003</v>
      </c>
      <c r="W159" s="34"/>
      <c r="X159" s="34"/>
      <c r="Y159" s="34"/>
      <c r="Z159" s="34"/>
      <c r="AA159" s="34"/>
      <c r="AB159" s="34"/>
      <c r="AC159" s="34"/>
      <c r="AD159" s="34"/>
      <c r="AE159" s="34"/>
      <c r="AF159" s="34"/>
      <c r="AG159" s="34"/>
      <c r="AH159" s="34"/>
      <c r="AI159" s="34" t="s">
        <v>296</v>
      </c>
      <c r="AJ159" s="34"/>
      <c r="AK159" s="34"/>
      <c r="AL159" s="34"/>
      <c r="AM159" s="34"/>
      <c r="AN159" s="34"/>
      <c r="AO159" s="34"/>
      <c r="AP159" s="34"/>
      <c r="AQ159" s="34"/>
      <c r="AR159" s="34" t="s">
        <v>296</v>
      </c>
      <c r="AS159" s="34"/>
      <c r="AT159" s="34"/>
      <c r="AU159" s="34"/>
      <c r="AV159" s="34"/>
      <c r="AW159" s="34"/>
      <c r="AX159" s="34"/>
      <c r="AY159" s="34"/>
      <c r="AZ159" s="34"/>
      <c r="BA159" s="5" t="s">
        <v>1048</v>
      </c>
    </row>
    <row r="160" spans="1:53" ht="15" thickBot="1" x14ac:dyDescent="0.4">
      <c r="A160" s="24" t="s">
        <v>297</v>
      </c>
      <c r="B160" s="24" t="s">
        <v>297</v>
      </c>
      <c r="C160" s="24" t="s">
        <v>297</v>
      </c>
      <c r="D160" s="24" t="s">
        <v>297</v>
      </c>
      <c r="E160" s="24" t="s">
        <v>296</v>
      </c>
      <c r="F160" s="24" t="s">
        <v>297</v>
      </c>
      <c r="G160" s="24" t="s">
        <v>297</v>
      </c>
      <c r="H160" s="24" t="s">
        <v>297</v>
      </c>
      <c r="I160" s="24" t="s">
        <v>297</v>
      </c>
      <c r="J160" s="5" t="s">
        <v>18</v>
      </c>
      <c r="K160" s="5" t="s">
        <v>400</v>
      </c>
      <c r="L160" s="5" t="s">
        <v>107</v>
      </c>
      <c r="M160" s="5" t="s">
        <v>105</v>
      </c>
      <c r="N160" s="5" t="s">
        <v>383</v>
      </c>
      <c r="O160" s="5">
        <v>1E-3</v>
      </c>
      <c r="P160" s="91"/>
      <c r="Q160" s="91"/>
      <c r="R160" s="287">
        <v>6.4106100000000001</v>
      </c>
      <c r="S160" s="91"/>
      <c r="T160" s="91"/>
      <c r="U160" s="91"/>
      <c r="V160" s="99">
        <f t="shared" si="5"/>
        <v>6.4109999999999996</v>
      </c>
      <c r="W160" s="34"/>
      <c r="X160" s="34"/>
      <c r="Y160" s="34"/>
      <c r="Z160" s="34"/>
      <c r="AA160" s="34"/>
      <c r="AB160" s="34"/>
      <c r="AC160" s="34"/>
      <c r="AD160" s="34"/>
      <c r="AE160" s="34"/>
      <c r="AF160" s="34"/>
      <c r="AG160" s="34"/>
      <c r="AH160" s="34"/>
      <c r="AI160" s="34" t="s">
        <v>296</v>
      </c>
      <c r="AJ160" s="34"/>
      <c r="AK160" s="34"/>
      <c r="AL160" s="34"/>
      <c r="AM160" s="34"/>
      <c r="AN160" s="34"/>
      <c r="AO160" s="34"/>
      <c r="AP160" s="34"/>
      <c r="AQ160" s="34"/>
      <c r="AR160" s="34"/>
      <c r="AS160" s="34"/>
      <c r="AT160" s="34"/>
      <c r="AU160" s="34"/>
      <c r="AV160" s="34"/>
      <c r="AW160" s="34"/>
      <c r="AX160" s="34"/>
      <c r="AY160" s="34"/>
      <c r="AZ160" s="34"/>
      <c r="BA160" s="5"/>
    </row>
    <row r="161" spans="1:53" ht="39.5" thickBot="1" x14ac:dyDescent="0.4">
      <c r="A161" s="24" t="s">
        <v>297</v>
      </c>
      <c r="B161" s="24" t="s">
        <v>297</v>
      </c>
      <c r="C161" s="24" t="s">
        <v>297</v>
      </c>
      <c r="D161" s="24" t="s">
        <v>297</v>
      </c>
      <c r="E161" s="24" t="s">
        <v>296</v>
      </c>
      <c r="F161" s="24" t="s">
        <v>297</v>
      </c>
      <c r="G161" s="24" t="s">
        <v>297</v>
      </c>
      <c r="H161" s="24" t="s">
        <v>297</v>
      </c>
      <c r="I161" s="24" t="s">
        <v>297</v>
      </c>
      <c r="J161" s="188" t="s">
        <v>684</v>
      </c>
      <c r="K161" s="5" t="s">
        <v>400</v>
      </c>
      <c r="L161" s="5" t="s">
        <v>107</v>
      </c>
      <c r="M161" s="5" t="s">
        <v>105</v>
      </c>
      <c r="N161" s="5" t="s">
        <v>383</v>
      </c>
      <c r="O161" s="5">
        <v>1E-3</v>
      </c>
      <c r="P161" s="91"/>
      <c r="Q161" s="91"/>
      <c r="R161" s="287">
        <v>0</v>
      </c>
      <c r="S161" s="91"/>
      <c r="T161" s="91"/>
      <c r="U161" s="91"/>
      <c r="V161" s="99">
        <f t="shared" si="5"/>
        <v>0</v>
      </c>
      <c r="W161" s="34"/>
      <c r="X161" s="34"/>
      <c r="Y161" s="34"/>
      <c r="Z161" s="34"/>
      <c r="AA161" s="34"/>
      <c r="AB161" s="34"/>
      <c r="AC161" s="34"/>
      <c r="AD161" s="34"/>
      <c r="AE161" s="34"/>
      <c r="AF161" s="34"/>
      <c r="AG161" s="34"/>
      <c r="AH161" s="34"/>
      <c r="AI161" s="34" t="s">
        <v>296</v>
      </c>
      <c r="AJ161" s="34"/>
      <c r="AK161" s="34"/>
      <c r="AL161" s="34"/>
      <c r="AM161" s="34"/>
      <c r="AN161" s="34"/>
      <c r="AO161" s="34"/>
      <c r="AP161" s="34"/>
      <c r="AQ161" s="34"/>
      <c r="AR161" s="34" t="s">
        <v>296</v>
      </c>
      <c r="AS161" s="34"/>
      <c r="AT161" s="34"/>
      <c r="AU161" s="34"/>
      <c r="AV161" s="34"/>
      <c r="AW161" s="34"/>
      <c r="AX161" s="34"/>
      <c r="AY161" s="34"/>
      <c r="AZ161" s="34"/>
      <c r="BA161" s="5" t="s">
        <v>1047</v>
      </c>
    </row>
    <row r="162" spans="1:53" ht="15" thickBot="1" x14ac:dyDescent="0.4">
      <c r="A162" s="24" t="s">
        <v>297</v>
      </c>
      <c r="B162" s="24" t="s">
        <v>297</v>
      </c>
      <c r="C162" s="24" t="s">
        <v>297</v>
      </c>
      <c r="D162" s="24" t="s">
        <v>297</v>
      </c>
      <c r="E162" s="24" t="s">
        <v>296</v>
      </c>
      <c r="F162" s="24" t="s">
        <v>297</v>
      </c>
      <c r="G162" s="24" t="s">
        <v>297</v>
      </c>
      <c r="H162" s="24" t="s">
        <v>297</v>
      </c>
      <c r="I162" s="24" t="s">
        <v>297</v>
      </c>
      <c r="J162" s="188" t="s">
        <v>18</v>
      </c>
      <c r="K162" s="5" t="s">
        <v>401</v>
      </c>
      <c r="L162" s="5" t="s">
        <v>107</v>
      </c>
      <c r="M162" s="5" t="s">
        <v>105</v>
      </c>
      <c r="N162" s="5" t="s">
        <v>383</v>
      </c>
      <c r="O162" s="5">
        <v>1E-3</v>
      </c>
      <c r="P162" s="91"/>
      <c r="Q162" s="91"/>
      <c r="R162" s="287">
        <v>6.4106100000000001</v>
      </c>
      <c r="S162" s="91"/>
      <c r="T162" s="91"/>
      <c r="U162" s="91"/>
      <c r="V162" s="99">
        <f t="shared" si="5"/>
        <v>6.4109999999999996</v>
      </c>
      <c r="W162" s="34"/>
      <c r="X162" s="34"/>
      <c r="Y162" s="34"/>
      <c r="Z162" s="34"/>
      <c r="AA162" s="34"/>
      <c r="AB162" s="34"/>
      <c r="AC162" s="34"/>
      <c r="AD162" s="34"/>
      <c r="AE162" s="34"/>
      <c r="AF162" s="34"/>
      <c r="AG162" s="34"/>
      <c r="AH162" s="34"/>
      <c r="AI162" s="34" t="s">
        <v>296</v>
      </c>
      <c r="AJ162" s="34"/>
      <c r="AK162" s="34"/>
      <c r="AL162" s="34"/>
      <c r="AM162" s="34"/>
      <c r="AN162" s="34"/>
      <c r="AO162" s="34"/>
      <c r="AP162" s="34"/>
      <c r="AQ162" s="34"/>
      <c r="AR162" s="34"/>
      <c r="AS162" s="34"/>
      <c r="AT162" s="34"/>
      <c r="AU162" s="34"/>
      <c r="AV162" s="34"/>
      <c r="AW162" s="34"/>
      <c r="AX162" s="34"/>
      <c r="AY162" s="34"/>
      <c r="AZ162" s="34"/>
      <c r="BA162" s="5"/>
    </row>
    <row r="163" spans="1:53" ht="39.5" thickBot="1" x14ac:dyDescent="0.4">
      <c r="A163" s="24" t="s">
        <v>297</v>
      </c>
      <c r="B163" s="24" t="s">
        <v>297</v>
      </c>
      <c r="C163" s="24" t="s">
        <v>297</v>
      </c>
      <c r="D163" s="24" t="s">
        <v>297</v>
      </c>
      <c r="E163" s="24" t="s">
        <v>296</v>
      </c>
      <c r="F163" s="24" t="s">
        <v>297</v>
      </c>
      <c r="G163" s="24" t="s">
        <v>297</v>
      </c>
      <c r="H163" s="24" t="s">
        <v>297</v>
      </c>
      <c r="I163" s="24" t="s">
        <v>297</v>
      </c>
      <c r="J163" s="188" t="s">
        <v>684</v>
      </c>
      <c r="K163" s="5" t="s">
        <v>401</v>
      </c>
      <c r="L163" s="5" t="s">
        <v>107</v>
      </c>
      <c r="M163" s="5" t="s">
        <v>105</v>
      </c>
      <c r="N163" s="5" t="s">
        <v>383</v>
      </c>
      <c r="O163" s="5">
        <v>1E-3</v>
      </c>
      <c r="P163" s="91"/>
      <c r="Q163" s="91"/>
      <c r="R163" s="287">
        <v>0</v>
      </c>
      <c r="S163" s="91"/>
      <c r="T163" s="91"/>
      <c r="U163" s="91"/>
      <c r="V163" s="99">
        <f t="shared" si="5"/>
        <v>0</v>
      </c>
      <c r="W163" s="34"/>
      <c r="X163" s="34"/>
      <c r="Y163" s="34"/>
      <c r="Z163" s="34"/>
      <c r="AA163" s="34"/>
      <c r="AB163" s="34"/>
      <c r="AC163" s="34"/>
      <c r="AD163" s="34"/>
      <c r="AE163" s="34"/>
      <c r="AF163" s="34"/>
      <c r="AG163" s="34"/>
      <c r="AH163" s="34"/>
      <c r="AI163" s="34" t="s">
        <v>296</v>
      </c>
      <c r="AJ163" s="34"/>
      <c r="AK163" s="34"/>
      <c r="AL163" s="34"/>
      <c r="AM163" s="34"/>
      <c r="AN163" s="34"/>
      <c r="AO163" s="34"/>
      <c r="AP163" s="34"/>
      <c r="AQ163" s="34"/>
      <c r="AR163" s="34" t="s">
        <v>296</v>
      </c>
      <c r="AS163" s="34"/>
      <c r="AT163" s="34"/>
      <c r="AU163" s="34"/>
      <c r="AV163" s="34"/>
      <c r="AW163" s="34"/>
      <c r="AX163" s="34"/>
      <c r="AY163" s="34"/>
      <c r="AZ163" s="34"/>
      <c r="BA163" s="5" t="s">
        <v>1047</v>
      </c>
    </row>
    <row r="164" spans="1:53" ht="15" thickBot="1" x14ac:dyDescent="0.4">
      <c r="A164" s="24" t="s">
        <v>297</v>
      </c>
      <c r="B164" s="24" t="s">
        <v>297</v>
      </c>
      <c r="C164" s="24" t="s">
        <v>297</v>
      </c>
      <c r="D164" s="24" t="s">
        <v>297</v>
      </c>
      <c r="E164" s="24" t="s">
        <v>296</v>
      </c>
      <c r="F164" s="24" t="s">
        <v>297</v>
      </c>
      <c r="G164" s="24" t="s">
        <v>297</v>
      </c>
      <c r="H164" s="24" t="s">
        <v>297</v>
      </c>
      <c r="I164" s="24" t="s">
        <v>297</v>
      </c>
      <c r="J164" s="5" t="s">
        <v>18</v>
      </c>
      <c r="K164" s="5" t="s">
        <v>402</v>
      </c>
      <c r="L164" s="5" t="s">
        <v>107</v>
      </c>
      <c r="M164" s="5" t="s">
        <v>105</v>
      </c>
      <c r="N164" s="5" t="s">
        <v>383</v>
      </c>
      <c r="O164" s="5">
        <v>1E-3</v>
      </c>
      <c r="P164" s="91"/>
      <c r="Q164" s="91"/>
      <c r="R164" s="287">
        <v>6.4106100000000001</v>
      </c>
      <c r="S164" s="91"/>
      <c r="T164" s="91"/>
      <c r="U164" s="91"/>
      <c r="V164" s="99">
        <f t="shared" si="5"/>
        <v>6.4109999999999996</v>
      </c>
      <c r="W164" s="34"/>
      <c r="X164" s="34"/>
      <c r="Y164" s="34"/>
      <c r="Z164" s="34"/>
      <c r="AA164" s="34"/>
      <c r="AB164" s="34"/>
      <c r="AC164" s="34"/>
      <c r="AD164" s="34"/>
      <c r="AE164" s="34"/>
      <c r="AF164" s="34"/>
      <c r="AG164" s="34"/>
      <c r="AH164" s="34"/>
      <c r="AI164" s="34" t="s">
        <v>296</v>
      </c>
      <c r="AJ164" s="34"/>
      <c r="AK164" s="34"/>
      <c r="AL164" s="34"/>
      <c r="AM164" s="34"/>
      <c r="AN164" s="34"/>
      <c r="AO164" s="34"/>
      <c r="AP164" s="34"/>
      <c r="AQ164" s="34"/>
      <c r="AR164" s="34"/>
      <c r="AS164" s="34"/>
      <c r="AT164" s="34"/>
      <c r="AU164" s="34"/>
      <c r="AV164" s="34"/>
      <c r="AW164" s="34"/>
      <c r="AX164" s="34"/>
      <c r="AY164" s="34"/>
      <c r="AZ164" s="34"/>
      <c r="BA164" s="5"/>
    </row>
    <row r="165" spans="1:53" ht="39.5" thickBot="1" x14ac:dyDescent="0.4">
      <c r="A165" s="24" t="s">
        <v>297</v>
      </c>
      <c r="B165" s="24" t="s">
        <v>297</v>
      </c>
      <c r="C165" s="24" t="s">
        <v>297</v>
      </c>
      <c r="D165" s="24" t="s">
        <v>297</v>
      </c>
      <c r="E165" s="24" t="s">
        <v>296</v>
      </c>
      <c r="F165" s="24" t="s">
        <v>297</v>
      </c>
      <c r="G165" s="24" t="s">
        <v>297</v>
      </c>
      <c r="H165" s="24" t="s">
        <v>297</v>
      </c>
      <c r="I165" s="24" t="s">
        <v>297</v>
      </c>
      <c r="J165" s="188" t="s">
        <v>684</v>
      </c>
      <c r="K165" s="5" t="s">
        <v>402</v>
      </c>
      <c r="L165" s="5" t="s">
        <v>107</v>
      </c>
      <c r="M165" s="5" t="s">
        <v>105</v>
      </c>
      <c r="N165" s="5" t="s">
        <v>383</v>
      </c>
      <c r="O165" s="5">
        <v>1E-3</v>
      </c>
      <c r="P165" s="91"/>
      <c r="Q165" s="91"/>
      <c r="R165" s="287">
        <v>0</v>
      </c>
      <c r="S165" s="91"/>
      <c r="T165" s="91"/>
      <c r="U165" s="91"/>
      <c r="V165" s="99">
        <f t="shared" si="5"/>
        <v>0</v>
      </c>
      <c r="W165" s="34"/>
      <c r="X165" s="34"/>
      <c r="Y165" s="34"/>
      <c r="Z165" s="34"/>
      <c r="AA165" s="34"/>
      <c r="AB165" s="34"/>
      <c r="AC165" s="34"/>
      <c r="AD165" s="34"/>
      <c r="AE165" s="34"/>
      <c r="AF165" s="34"/>
      <c r="AG165" s="34"/>
      <c r="AH165" s="34"/>
      <c r="AI165" s="34" t="s">
        <v>296</v>
      </c>
      <c r="AJ165" s="34"/>
      <c r="AK165" s="34"/>
      <c r="AL165" s="34"/>
      <c r="AM165" s="34"/>
      <c r="AN165" s="34"/>
      <c r="AO165" s="34"/>
      <c r="AP165" s="34"/>
      <c r="AQ165" s="34"/>
      <c r="AR165" s="34" t="s">
        <v>296</v>
      </c>
      <c r="AS165" s="34"/>
      <c r="AT165" s="34"/>
      <c r="AU165" s="34"/>
      <c r="AV165" s="34"/>
      <c r="AW165" s="34"/>
      <c r="AX165" s="34"/>
      <c r="AY165" s="34"/>
      <c r="AZ165" s="34"/>
      <c r="BA165" s="5" t="s">
        <v>1047</v>
      </c>
    </row>
    <row r="166" spans="1:53" ht="15" thickBot="1" x14ac:dyDescent="0.4">
      <c r="A166" s="24" t="s">
        <v>297</v>
      </c>
      <c r="B166" s="24" t="s">
        <v>297</v>
      </c>
      <c r="C166" s="24" t="s">
        <v>297</v>
      </c>
      <c r="D166" s="24" t="s">
        <v>297</v>
      </c>
      <c r="E166" s="24" t="s">
        <v>296</v>
      </c>
      <c r="F166" s="24" t="s">
        <v>297</v>
      </c>
      <c r="G166" s="24" t="s">
        <v>297</v>
      </c>
      <c r="H166" s="24" t="s">
        <v>297</v>
      </c>
      <c r="I166" s="24" t="s">
        <v>297</v>
      </c>
      <c r="J166" s="5" t="s">
        <v>18</v>
      </c>
      <c r="K166" s="5" t="s">
        <v>403</v>
      </c>
      <c r="L166" s="5" t="s">
        <v>107</v>
      </c>
      <c r="M166" s="5" t="s">
        <v>105</v>
      </c>
      <c r="N166" s="5" t="s">
        <v>383</v>
      </c>
      <c r="O166" s="5">
        <v>1E-3</v>
      </c>
      <c r="P166" s="91"/>
      <c r="Q166" s="91"/>
      <c r="R166" s="287">
        <v>6.4106100000000001</v>
      </c>
      <c r="S166" s="91"/>
      <c r="T166" s="91"/>
      <c r="U166" s="91"/>
      <c r="V166" s="99">
        <f t="shared" si="5"/>
        <v>6.4109999999999996</v>
      </c>
      <c r="W166" s="34"/>
      <c r="X166" s="34"/>
      <c r="Y166" s="34"/>
      <c r="Z166" s="34"/>
      <c r="AA166" s="34"/>
      <c r="AB166" s="34"/>
      <c r="AC166" s="34"/>
      <c r="AD166" s="34"/>
      <c r="AE166" s="34"/>
      <c r="AF166" s="34"/>
      <c r="AG166" s="34"/>
      <c r="AH166" s="34"/>
      <c r="AI166" s="34" t="s">
        <v>296</v>
      </c>
      <c r="AJ166" s="34"/>
      <c r="AK166" s="34"/>
      <c r="AL166" s="34"/>
      <c r="AM166" s="34"/>
      <c r="AN166" s="34"/>
      <c r="AO166" s="34"/>
      <c r="AP166" s="34"/>
      <c r="AQ166" s="34"/>
      <c r="AR166" s="34"/>
      <c r="AS166" s="34"/>
      <c r="AT166" s="34"/>
      <c r="AU166" s="34"/>
      <c r="AV166" s="34"/>
      <c r="AW166" s="34"/>
      <c r="AX166" s="34"/>
      <c r="AY166" s="34"/>
      <c r="AZ166" s="34"/>
      <c r="BA166" s="5"/>
    </row>
    <row r="167" spans="1:53" ht="15" thickBot="1" x14ac:dyDescent="0.4">
      <c r="A167" s="24" t="s">
        <v>297</v>
      </c>
      <c r="B167" s="24" t="s">
        <v>297</v>
      </c>
      <c r="C167" s="24" t="s">
        <v>297</v>
      </c>
      <c r="D167" s="24" t="s">
        <v>297</v>
      </c>
      <c r="E167" s="24" t="s">
        <v>296</v>
      </c>
      <c r="F167" s="24" t="s">
        <v>297</v>
      </c>
      <c r="G167" s="24" t="s">
        <v>297</v>
      </c>
      <c r="H167" s="24" t="s">
        <v>297</v>
      </c>
      <c r="I167" s="24" t="s">
        <v>297</v>
      </c>
      <c r="J167" s="5" t="s">
        <v>18</v>
      </c>
      <c r="K167" s="5" t="s">
        <v>403</v>
      </c>
      <c r="L167" s="5" t="s">
        <v>397</v>
      </c>
      <c r="M167" s="5" t="s">
        <v>105</v>
      </c>
      <c r="N167" s="5" t="s">
        <v>383</v>
      </c>
      <c r="O167" s="5">
        <v>1E-3</v>
      </c>
      <c r="P167" s="91"/>
      <c r="Q167" s="91"/>
      <c r="R167" s="287">
        <v>8.8838600000000003</v>
      </c>
      <c r="S167" s="91"/>
      <c r="T167" s="91"/>
      <c r="U167" s="91"/>
      <c r="V167" s="99">
        <f t="shared" si="5"/>
        <v>8.8840000000000003</v>
      </c>
      <c r="W167" s="34"/>
      <c r="X167" s="34"/>
      <c r="Y167" s="34"/>
      <c r="Z167" s="34"/>
      <c r="AA167" s="34"/>
      <c r="AB167" s="34"/>
      <c r="AC167" s="34"/>
      <c r="AD167" s="34"/>
      <c r="AE167" s="34"/>
      <c r="AF167" s="34"/>
      <c r="AG167" s="34"/>
      <c r="AH167" s="34"/>
      <c r="AI167" s="34" t="s">
        <v>296</v>
      </c>
      <c r="AJ167" s="34"/>
      <c r="AK167" s="34"/>
      <c r="AL167" s="34"/>
      <c r="AM167" s="34"/>
      <c r="AN167" s="34"/>
      <c r="AO167" s="34"/>
      <c r="AP167" s="34"/>
      <c r="AQ167" s="34"/>
      <c r="AR167" s="34"/>
      <c r="AS167" s="34"/>
      <c r="AT167" s="34"/>
      <c r="AU167" s="34"/>
      <c r="AV167" s="34"/>
      <c r="AW167" s="34"/>
      <c r="AX167" s="34"/>
      <c r="AY167" s="34"/>
      <c r="AZ167" s="34"/>
      <c r="BA167" s="5"/>
    </row>
    <row r="168" spans="1:53" ht="39.5" thickBot="1" x14ac:dyDescent="0.4">
      <c r="A168" s="24" t="s">
        <v>297</v>
      </c>
      <c r="B168" s="24" t="s">
        <v>297</v>
      </c>
      <c r="C168" s="24" t="s">
        <v>297</v>
      </c>
      <c r="D168" s="24" t="s">
        <v>297</v>
      </c>
      <c r="E168" s="24" t="s">
        <v>296</v>
      </c>
      <c r="F168" s="24" t="s">
        <v>297</v>
      </c>
      <c r="G168" s="24" t="s">
        <v>297</v>
      </c>
      <c r="H168" s="24" t="s">
        <v>297</v>
      </c>
      <c r="I168" s="24" t="s">
        <v>297</v>
      </c>
      <c r="J168" s="188" t="s">
        <v>684</v>
      </c>
      <c r="K168" s="5" t="s">
        <v>403</v>
      </c>
      <c r="L168" s="5" t="s">
        <v>107</v>
      </c>
      <c r="M168" s="5" t="s">
        <v>105</v>
      </c>
      <c r="N168" s="5" t="s">
        <v>383</v>
      </c>
      <c r="O168" s="5">
        <v>1E-3</v>
      </c>
      <c r="P168" s="91"/>
      <c r="Q168" s="91"/>
      <c r="R168" s="287">
        <v>0</v>
      </c>
      <c r="S168" s="91"/>
      <c r="T168" s="91"/>
      <c r="U168" s="91"/>
      <c r="V168" s="99">
        <f t="shared" si="5"/>
        <v>0</v>
      </c>
      <c r="W168" s="34"/>
      <c r="X168" s="34"/>
      <c r="Y168" s="34"/>
      <c r="Z168" s="34"/>
      <c r="AA168" s="34"/>
      <c r="AB168" s="34"/>
      <c r="AC168" s="34"/>
      <c r="AD168" s="34"/>
      <c r="AE168" s="34"/>
      <c r="AF168" s="34"/>
      <c r="AG168" s="34"/>
      <c r="AH168" s="34"/>
      <c r="AI168" s="34" t="s">
        <v>296</v>
      </c>
      <c r="AJ168" s="34"/>
      <c r="AK168" s="34"/>
      <c r="AL168" s="34"/>
      <c r="AM168" s="34"/>
      <c r="AN168" s="34"/>
      <c r="AO168" s="34"/>
      <c r="AP168" s="34"/>
      <c r="AQ168" s="34"/>
      <c r="AR168" s="34" t="s">
        <v>296</v>
      </c>
      <c r="AS168" s="34"/>
      <c r="AT168" s="34"/>
      <c r="AU168" s="34"/>
      <c r="AV168" s="34"/>
      <c r="AW168" s="34"/>
      <c r="AX168" s="34"/>
      <c r="AY168" s="34"/>
      <c r="AZ168" s="34"/>
      <c r="BA168" s="5" t="s">
        <v>1047</v>
      </c>
    </row>
    <row r="169" spans="1:53" ht="39.5" thickBot="1" x14ac:dyDescent="0.4">
      <c r="A169" s="24" t="s">
        <v>297</v>
      </c>
      <c r="B169" s="24" t="s">
        <v>297</v>
      </c>
      <c r="C169" s="24" t="s">
        <v>297</v>
      </c>
      <c r="D169" s="24" t="s">
        <v>297</v>
      </c>
      <c r="E169" s="24" t="s">
        <v>296</v>
      </c>
      <c r="F169" s="24" t="s">
        <v>297</v>
      </c>
      <c r="G169" s="24" t="s">
        <v>297</v>
      </c>
      <c r="H169" s="24" t="s">
        <v>297</v>
      </c>
      <c r="I169" s="24" t="s">
        <v>297</v>
      </c>
      <c r="J169" s="188" t="s">
        <v>684</v>
      </c>
      <c r="K169" s="5" t="s">
        <v>403</v>
      </c>
      <c r="L169" s="5" t="s">
        <v>397</v>
      </c>
      <c r="M169" s="5" t="s">
        <v>105</v>
      </c>
      <c r="N169" s="5" t="s">
        <v>383</v>
      </c>
      <c r="O169" s="5">
        <v>1E-3</v>
      </c>
      <c r="P169" s="91"/>
      <c r="Q169" s="91"/>
      <c r="R169" s="287">
        <v>0</v>
      </c>
      <c r="S169" s="91"/>
      <c r="T169" s="91"/>
      <c r="U169" s="91"/>
      <c r="V169" s="99">
        <f t="shared" si="5"/>
        <v>0</v>
      </c>
      <c r="W169" s="34"/>
      <c r="X169" s="34"/>
      <c r="Y169" s="34"/>
      <c r="Z169" s="34"/>
      <c r="AA169" s="34"/>
      <c r="AB169" s="34"/>
      <c r="AC169" s="34"/>
      <c r="AD169" s="34"/>
      <c r="AE169" s="34"/>
      <c r="AF169" s="34"/>
      <c r="AG169" s="34"/>
      <c r="AH169" s="34"/>
      <c r="AI169" s="34" t="s">
        <v>296</v>
      </c>
      <c r="AJ169" s="34"/>
      <c r="AK169" s="34"/>
      <c r="AL169" s="34"/>
      <c r="AM169" s="34"/>
      <c r="AN169" s="34"/>
      <c r="AO169" s="34"/>
      <c r="AP169" s="34"/>
      <c r="AQ169" s="34"/>
      <c r="AR169" s="34" t="s">
        <v>296</v>
      </c>
      <c r="AS169" s="34"/>
      <c r="AT169" s="34"/>
      <c r="AU169" s="34"/>
      <c r="AV169" s="34"/>
      <c r="AW169" s="34"/>
      <c r="AX169" s="34"/>
      <c r="AY169" s="34"/>
      <c r="AZ169" s="34"/>
      <c r="BA169" s="5" t="s">
        <v>1047</v>
      </c>
    </row>
    <row r="170" spans="1:53" ht="39.5" thickBot="1" x14ac:dyDescent="0.4">
      <c r="A170" s="24" t="s">
        <v>297</v>
      </c>
      <c r="B170" s="24" t="s">
        <v>297</v>
      </c>
      <c r="C170" s="24" t="s">
        <v>297</v>
      </c>
      <c r="D170" s="24" t="s">
        <v>297</v>
      </c>
      <c r="E170" s="24" t="s">
        <v>296</v>
      </c>
      <c r="F170" s="24" t="s">
        <v>297</v>
      </c>
      <c r="G170" s="24" t="s">
        <v>297</v>
      </c>
      <c r="H170" s="24" t="s">
        <v>297</v>
      </c>
      <c r="I170" s="24" t="s">
        <v>297</v>
      </c>
      <c r="J170" s="188" t="s">
        <v>18</v>
      </c>
      <c r="K170" s="5" t="s">
        <v>404</v>
      </c>
      <c r="L170" s="5" t="s">
        <v>107</v>
      </c>
      <c r="M170" s="5" t="s">
        <v>105</v>
      </c>
      <c r="N170" s="5" t="s">
        <v>383</v>
      </c>
      <c r="O170" s="5">
        <v>1E-3</v>
      </c>
      <c r="P170" s="91"/>
      <c r="Q170" s="91"/>
      <c r="R170" s="287">
        <v>6.4106100000000001</v>
      </c>
      <c r="S170" s="91"/>
      <c r="T170" s="91"/>
      <c r="U170" s="91"/>
      <c r="V170" s="99">
        <f t="shared" si="5"/>
        <v>6.4109999999999996</v>
      </c>
      <c r="W170" s="34"/>
      <c r="X170" s="34"/>
      <c r="Y170" s="34"/>
      <c r="Z170" s="34"/>
      <c r="AA170" s="34"/>
      <c r="AB170" s="34"/>
      <c r="AC170" s="34"/>
      <c r="AD170" s="34"/>
      <c r="AE170" s="34"/>
      <c r="AF170" s="34"/>
      <c r="AG170" s="34"/>
      <c r="AH170" s="34"/>
      <c r="AI170" s="34" t="s">
        <v>297</v>
      </c>
      <c r="AJ170" s="34"/>
      <c r="AK170" s="34"/>
      <c r="AL170" s="34"/>
      <c r="AM170" s="34"/>
      <c r="AN170" s="34"/>
      <c r="AO170" s="34"/>
      <c r="AP170" s="34"/>
      <c r="AQ170" s="34"/>
      <c r="AR170" s="34"/>
      <c r="AS170" s="34"/>
      <c r="AT170" s="34"/>
      <c r="AU170" s="34"/>
      <c r="AV170" s="34"/>
      <c r="AW170" s="34"/>
      <c r="AX170" s="34"/>
      <c r="AY170" s="34"/>
      <c r="AZ170" s="34"/>
      <c r="BA170" s="5" t="s">
        <v>1047</v>
      </c>
    </row>
    <row r="171" spans="1:53" ht="39.5" thickBot="1" x14ac:dyDescent="0.4">
      <c r="A171" s="24" t="s">
        <v>297</v>
      </c>
      <c r="B171" s="24" t="s">
        <v>297</v>
      </c>
      <c r="C171" s="24" t="s">
        <v>297</v>
      </c>
      <c r="D171" s="24" t="s">
        <v>297</v>
      </c>
      <c r="E171" s="24" t="s">
        <v>296</v>
      </c>
      <c r="F171" s="24" t="s">
        <v>297</v>
      </c>
      <c r="G171" s="24" t="s">
        <v>297</v>
      </c>
      <c r="H171" s="24" t="s">
        <v>297</v>
      </c>
      <c r="I171" s="24" t="s">
        <v>297</v>
      </c>
      <c r="J171" s="5" t="s">
        <v>684</v>
      </c>
      <c r="K171" s="5" t="s">
        <v>404</v>
      </c>
      <c r="L171" s="5" t="s">
        <v>107</v>
      </c>
      <c r="M171" s="5" t="s">
        <v>105</v>
      </c>
      <c r="N171" s="5" t="s">
        <v>383</v>
      </c>
      <c r="O171" s="5">
        <v>1E-3</v>
      </c>
      <c r="P171" s="91"/>
      <c r="Q171" s="91"/>
      <c r="R171" s="287">
        <v>0</v>
      </c>
      <c r="S171" s="91"/>
      <c r="T171" s="91"/>
      <c r="U171" s="91"/>
      <c r="V171" s="99">
        <f t="shared" si="5"/>
        <v>0</v>
      </c>
      <c r="W171" s="34"/>
      <c r="X171" s="34"/>
      <c r="Y171" s="34"/>
      <c r="Z171" s="34"/>
      <c r="AA171" s="34"/>
      <c r="AB171" s="34"/>
      <c r="AC171" s="34"/>
      <c r="AD171" s="34"/>
      <c r="AE171" s="34"/>
      <c r="AF171" s="34"/>
      <c r="AG171" s="34"/>
      <c r="AH171" s="34"/>
      <c r="AI171" s="34" t="s">
        <v>297</v>
      </c>
      <c r="AJ171" s="34"/>
      <c r="AK171" s="34"/>
      <c r="AL171" s="34"/>
      <c r="AM171" s="34"/>
      <c r="AN171" s="34"/>
      <c r="AO171" s="34"/>
      <c r="AP171" s="34"/>
      <c r="AQ171" s="34"/>
      <c r="AR171" s="34" t="s">
        <v>296</v>
      </c>
      <c r="AS171" s="34"/>
      <c r="AT171" s="34"/>
      <c r="AU171" s="34"/>
      <c r="AV171" s="34"/>
      <c r="AW171" s="34"/>
      <c r="AX171" s="34"/>
      <c r="AY171" s="34"/>
      <c r="AZ171" s="34"/>
      <c r="BA171" s="5" t="s">
        <v>1047</v>
      </c>
    </row>
    <row r="172" spans="1:53" ht="15" thickBot="1" x14ac:dyDescent="0.4">
      <c r="A172" s="24" t="s">
        <v>297</v>
      </c>
      <c r="B172" s="24" t="s">
        <v>297</v>
      </c>
      <c r="C172" s="24" t="s">
        <v>297</v>
      </c>
      <c r="D172" s="24" t="s">
        <v>297</v>
      </c>
      <c r="E172" s="24" t="s">
        <v>296</v>
      </c>
      <c r="F172" s="24" t="s">
        <v>297</v>
      </c>
      <c r="G172" s="24" t="s">
        <v>297</v>
      </c>
      <c r="H172" s="24" t="s">
        <v>297</v>
      </c>
      <c r="I172" s="24" t="s">
        <v>297</v>
      </c>
      <c r="J172" s="5" t="s">
        <v>18</v>
      </c>
      <c r="K172" s="5" t="s">
        <v>405</v>
      </c>
      <c r="L172" s="5" t="s">
        <v>107</v>
      </c>
      <c r="M172" s="5" t="s">
        <v>105</v>
      </c>
      <c r="N172" s="5" t="s">
        <v>383</v>
      </c>
      <c r="O172" s="5">
        <v>1E-3</v>
      </c>
      <c r="P172" s="91"/>
      <c r="Q172" s="91"/>
      <c r="R172" s="287">
        <v>6.4106100000000001</v>
      </c>
      <c r="S172" s="91"/>
      <c r="T172" s="91"/>
      <c r="U172" s="91"/>
      <c r="V172" s="99">
        <f t="shared" si="5"/>
        <v>6.4109999999999996</v>
      </c>
      <c r="W172" s="34"/>
      <c r="X172" s="34"/>
      <c r="Y172" s="34"/>
      <c r="Z172" s="34"/>
      <c r="AA172" s="34"/>
      <c r="AB172" s="34"/>
      <c r="AC172" s="34"/>
      <c r="AD172" s="34"/>
      <c r="AE172" s="34"/>
      <c r="AF172" s="34"/>
      <c r="AG172" s="34"/>
      <c r="AH172" s="34"/>
      <c r="AI172" s="34" t="s">
        <v>296</v>
      </c>
      <c r="AJ172" s="34"/>
      <c r="AK172" s="34"/>
      <c r="AL172" s="34"/>
      <c r="AM172" s="34"/>
      <c r="AN172" s="34"/>
      <c r="AO172" s="34"/>
      <c r="AP172" s="34"/>
      <c r="AQ172" s="34"/>
      <c r="AR172" s="34"/>
      <c r="AS172" s="34"/>
      <c r="AT172" s="34"/>
      <c r="AU172" s="34"/>
      <c r="AV172" s="34"/>
      <c r="AW172" s="34"/>
      <c r="AX172" s="34"/>
      <c r="AY172" s="34"/>
      <c r="AZ172" s="34"/>
      <c r="BA172" s="5"/>
    </row>
    <row r="173" spans="1:53" ht="15" thickBot="1" x14ac:dyDescent="0.4">
      <c r="A173" s="24" t="s">
        <v>297</v>
      </c>
      <c r="B173" s="24" t="s">
        <v>297</v>
      </c>
      <c r="C173" s="24" t="s">
        <v>297</v>
      </c>
      <c r="D173" s="24" t="s">
        <v>297</v>
      </c>
      <c r="E173" s="24" t="s">
        <v>296</v>
      </c>
      <c r="F173" s="24" t="s">
        <v>297</v>
      </c>
      <c r="G173" s="24" t="s">
        <v>297</v>
      </c>
      <c r="H173" s="24" t="s">
        <v>297</v>
      </c>
      <c r="I173" s="24" t="s">
        <v>297</v>
      </c>
      <c r="J173" s="5" t="s">
        <v>18</v>
      </c>
      <c r="K173" s="5" t="s">
        <v>405</v>
      </c>
      <c r="L173" s="5" t="s">
        <v>104</v>
      </c>
      <c r="M173" s="5" t="s">
        <v>105</v>
      </c>
      <c r="N173" s="5" t="s">
        <v>383</v>
      </c>
      <c r="O173" s="5">
        <v>1E-3</v>
      </c>
      <c r="P173" s="91"/>
      <c r="Q173" s="91"/>
      <c r="R173" s="287">
        <v>8.8838600000000003</v>
      </c>
      <c r="S173" s="91"/>
      <c r="T173" s="91"/>
      <c r="U173" s="91"/>
      <c r="V173" s="99">
        <f t="shared" si="5"/>
        <v>8.8840000000000003</v>
      </c>
      <c r="W173" s="34"/>
      <c r="X173" s="34"/>
      <c r="Y173" s="34"/>
      <c r="Z173" s="34"/>
      <c r="AA173" s="34"/>
      <c r="AB173" s="34"/>
      <c r="AC173" s="34"/>
      <c r="AD173" s="34"/>
      <c r="AE173" s="34"/>
      <c r="AF173" s="34"/>
      <c r="AG173" s="34"/>
      <c r="AH173" s="34"/>
      <c r="AI173" s="34" t="s">
        <v>296</v>
      </c>
      <c r="AJ173" s="34"/>
      <c r="AK173" s="34"/>
      <c r="AL173" s="34"/>
      <c r="AM173" s="34"/>
      <c r="AN173" s="34"/>
      <c r="AO173" s="34"/>
      <c r="AP173" s="34"/>
      <c r="AQ173" s="34"/>
      <c r="AR173" s="34"/>
      <c r="AS173" s="34"/>
      <c r="AT173" s="34"/>
      <c r="AU173" s="34"/>
      <c r="AV173" s="34"/>
      <c r="AW173" s="34"/>
      <c r="AX173" s="34"/>
      <c r="AY173" s="34"/>
      <c r="AZ173" s="34"/>
      <c r="BA173" s="5"/>
    </row>
    <row r="174" spans="1:53" ht="39.5" thickBot="1" x14ac:dyDescent="0.4">
      <c r="A174" s="24" t="s">
        <v>297</v>
      </c>
      <c r="B174" s="24" t="s">
        <v>297</v>
      </c>
      <c r="C174" s="24" t="s">
        <v>297</v>
      </c>
      <c r="D174" s="24" t="s">
        <v>297</v>
      </c>
      <c r="E174" s="24" t="s">
        <v>296</v>
      </c>
      <c r="F174" s="24" t="s">
        <v>297</v>
      </c>
      <c r="G174" s="24" t="s">
        <v>297</v>
      </c>
      <c r="H174" s="24" t="s">
        <v>297</v>
      </c>
      <c r="I174" s="24" t="s">
        <v>297</v>
      </c>
      <c r="J174" s="5" t="s">
        <v>684</v>
      </c>
      <c r="K174" s="5" t="s">
        <v>405</v>
      </c>
      <c r="L174" s="5" t="s">
        <v>107</v>
      </c>
      <c r="M174" s="5" t="s">
        <v>105</v>
      </c>
      <c r="N174" s="5" t="s">
        <v>383</v>
      </c>
      <c r="O174" s="5">
        <v>1E-3</v>
      </c>
      <c r="P174" s="91"/>
      <c r="Q174" s="91"/>
      <c r="R174" s="287">
        <v>0</v>
      </c>
      <c r="S174" s="91"/>
      <c r="T174" s="91"/>
      <c r="U174" s="91"/>
      <c r="V174" s="99">
        <f t="shared" si="5"/>
        <v>0</v>
      </c>
      <c r="W174" s="34"/>
      <c r="X174" s="34"/>
      <c r="Y174" s="34"/>
      <c r="Z174" s="34"/>
      <c r="AA174" s="34"/>
      <c r="AB174" s="34"/>
      <c r="AC174" s="34"/>
      <c r="AD174" s="34"/>
      <c r="AE174" s="34"/>
      <c r="AF174" s="34"/>
      <c r="AG174" s="34"/>
      <c r="AH174" s="34"/>
      <c r="AI174" s="34" t="s">
        <v>296</v>
      </c>
      <c r="AJ174" s="34"/>
      <c r="AK174" s="34"/>
      <c r="AL174" s="34"/>
      <c r="AM174" s="34"/>
      <c r="AN174" s="34"/>
      <c r="AO174" s="34"/>
      <c r="AP174" s="34"/>
      <c r="AQ174" s="34"/>
      <c r="AR174" s="34" t="s">
        <v>296</v>
      </c>
      <c r="AS174" s="34"/>
      <c r="AT174" s="34"/>
      <c r="AU174" s="34"/>
      <c r="AV174" s="34"/>
      <c r="AW174" s="34"/>
      <c r="AX174" s="34"/>
      <c r="AY174" s="34"/>
      <c r="AZ174" s="34"/>
      <c r="BA174" s="5" t="s">
        <v>1047</v>
      </c>
    </row>
    <row r="175" spans="1:53" ht="78.5" thickBot="1" x14ac:dyDescent="0.4">
      <c r="A175" s="24" t="s">
        <v>297</v>
      </c>
      <c r="B175" s="24" t="s">
        <v>297</v>
      </c>
      <c r="C175" s="24" t="s">
        <v>297</v>
      </c>
      <c r="D175" s="24" t="s">
        <v>297</v>
      </c>
      <c r="E175" s="24" t="s">
        <v>296</v>
      </c>
      <c r="F175" s="24" t="s">
        <v>297</v>
      </c>
      <c r="G175" s="24" t="s">
        <v>297</v>
      </c>
      <c r="H175" s="24" t="s">
        <v>297</v>
      </c>
      <c r="I175" s="24" t="s">
        <v>297</v>
      </c>
      <c r="J175" s="5" t="s">
        <v>684</v>
      </c>
      <c r="K175" s="5" t="s">
        <v>405</v>
      </c>
      <c r="L175" s="5" t="s">
        <v>104</v>
      </c>
      <c r="M175" s="5" t="s">
        <v>105</v>
      </c>
      <c r="N175" s="5" t="s">
        <v>383</v>
      </c>
      <c r="O175" s="5">
        <v>1E-3</v>
      </c>
      <c r="P175" s="91"/>
      <c r="Q175" s="91"/>
      <c r="R175" s="287">
        <f>R173-(10*2*P145)</f>
        <v>4.8684600000000007</v>
      </c>
      <c r="S175" s="91"/>
      <c r="T175" s="91"/>
      <c r="U175" s="91"/>
      <c r="V175" s="99">
        <f t="shared" si="5"/>
        <v>4.8680000000000003</v>
      </c>
      <c r="W175" s="34"/>
      <c r="X175" s="34"/>
      <c r="Y175" s="34"/>
      <c r="Z175" s="34"/>
      <c r="AA175" s="34"/>
      <c r="AB175" s="34"/>
      <c r="AC175" s="34"/>
      <c r="AD175" s="34"/>
      <c r="AE175" s="34"/>
      <c r="AF175" s="34"/>
      <c r="AG175" s="34"/>
      <c r="AH175" s="34"/>
      <c r="AI175" s="34" t="s">
        <v>296</v>
      </c>
      <c r="AJ175" s="34"/>
      <c r="AK175" s="34"/>
      <c r="AL175" s="34"/>
      <c r="AM175" s="34"/>
      <c r="AN175" s="34"/>
      <c r="AO175" s="34"/>
      <c r="AP175" s="34"/>
      <c r="AQ175" s="34"/>
      <c r="AR175" s="34" t="s">
        <v>296</v>
      </c>
      <c r="AS175" s="34"/>
      <c r="AT175" s="34"/>
      <c r="AU175" s="34"/>
      <c r="AV175" s="34"/>
      <c r="AW175" s="34"/>
      <c r="AX175" s="34"/>
      <c r="AY175" s="34"/>
      <c r="AZ175" s="34"/>
      <c r="BA175" s="5" t="s">
        <v>1048</v>
      </c>
    </row>
    <row r="176" spans="1:53" ht="15" thickBot="1" x14ac:dyDescent="0.4">
      <c r="A176" s="24" t="s">
        <v>297</v>
      </c>
      <c r="B176" s="24" t="s">
        <v>297</v>
      </c>
      <c r="C176" s="24" t="s">
        <v>297</v>
      </c>
      <c r="D176" s="24" t="s">
        <v>297</v>
      </c>
      <c r="E176" s="24" t="s">
        <v>296</v>
      </c>
      <c r="F176" s="24" t="s">
        <v>297</v>
      </c>
      <c r="G176" s="24" t="s">
        <v>297</v>
      </c>
      <c r="H176" s="24" t="s">
        <v>297</v>
      </c>
      <c r="I176" s="24" t="s">
        <v>297</v>
      </c>
      <c r="J176" s="5" t="s">
        <v>18</v>
      </c>
      <c r="K176" s="5" t="s">
        <v>406</v>
      </c>
      <c r="L176" s="5" t="s">
        <v>107</v>
      </c>
      <c r="M176" s="5" t="s">
        <v>105</v>
      </c>
      <c r="N176" s="5" t="s">
        <v>383</v>
      </c>
      <c r="O176" s="5">
        <v>1E-3</v>
      </c>
      <c r="P176" s="91"/>
      <c r="Q176" s="91"/>
      <c r="R176" s="287">
        <v>6.4106100000000001</v>
      </c>
      <c r="S176" s="91"/>
      <c r="T176" s="91"/>
      <c r="U176" s="91"/>
      <c r="V176" s="99">
        <f t="shared" si="5"/>
        <v>6.4109999999999996</v>
      </c>
      <c r="W176" s="34"/>
      <c r="X176" s="34"/>
      <c r="Y176" s="34"/>
      <c r="Z176" s="34"/>
      <c r="AA176" s="34"/>
      <c r="AB176" s="34"/>
      <c r="AC176" s="34"/>
      <c r="AD176" s="34"/>
      <c r="AE176" s="34"/>
      <c r="AF176" s="34"/>
      <c r="AG176" s="34"/>
      <c r="AH176" s="34"/>
      <c r="AI176" s="34" t="s">
        <v>296</v>
      </c>
      <c r="AJ176" s="34"/>
      <c r="AK176" s="34"/>
      <c r="AL176" s="34"/>
      <c r="AM176" s="34"/>
      <c r="AN176" s="34"/>
      <c r="AO176" s="34"/>
      <c r="AP176" s="34"/>
      <c r="AQ176" s="34"/>
      <c r="AR176" s="34"/>
      <c r="AS176" s="34"/>
      <c r="AT176" s="34"/>
      <c r="AU176" s="34"/>
      <c r="AV176" s="34"/>
      <c r="AW176" s="34"/>
      <c r="AX176" s="34"/>
      <c r="AY176" s="34"/>
      <c r="AZ176" s="34"/>
      <c r="BA176" s="5"/>
    </row>
    <row r="177" spans="1:53" ht="15" thickBot="1" x14ac:dyDescent="0.4">
      <c r="A177" s="24" t="s">
        <v>297</v>
      </c>
      <c r="B177" s="24" t="s">
        <v>297</v>
      </c>
      <c r="C177" s="24" t="s">
        <v>297</v>
      </c>
      <c r="D177" s="24" t="s">
        <v>297</v>
      </c>
      <c r="E177" s="24" t="s">
        <v>296</v>
      </c>
      <c r="F177" s="24" t="s">
        <v>297</v>
      </c>
      <c r="G177" s="24" t="s">
        <v>297</v>
      </c>
      <c r="H177" s="24" t="s">
        <v>297</v>
      </c>
      <c r="I177" s="24" t="s">
        <v>297</v>
      </c>
      <c r="J177" s="5" t="s">
        <v>18</v>
      </c>
      <c r="K177" s="5" t="s">
        <v>406</v>
      </c>
      <c r="L177" s="5" t="s">
        <v>393</v>
      </c>
      <c r="M177" s="5" t="s">
        <v>105</v>
      </c>
      <c r="N177" s="5" t="s">
        <v>383</v>
      </c>
      <c r="O177" s="5">
        <v>1E-3</v>
      </c>
      <c r="P177" s="91"/>
      <c r="Q177" s="91"/>
      <c r="R177" s="287">
        <v>6.4106100000000001</v>
      </c>
      <c r="S177" s="91"/>
      <c r="T177" s="91"/>
      <c r="U177" s="91"/>
      <c r="V177" s="99">
        <f t="shared" si="5"/>
        <v>6.4109999999999996</v>
      </c>
      <c r="W177" s="34"/>
      <c r="X177" s="34"/>
      <c r="Y177" s="34"/>
      <c r="Z177" s="34"/>
      <c r="AA177" s="34"/>
      <c r="AB177" s="34"/>
      <c r="AC177" s="34"/>
      <c r="AD177" s="34"/>
      <c r="AE177" s="34"/>
      <c r="AF177" s="34"/>
      <c r="AG177" s="34"/>
      <c r="AH177" s="34"/>
      <c r="AI177" s="34" t="s">
        <v>296</v>
      </c>
      <c r="AJ177" s="34"/>
      <c r="AK177" s="34"/>
      <c r="AL177" s="34"/>
      <c r="AM177" s="34"/>
      <c r="AN177" s="34"/>
      <c r="AO177" s="34"/>
      <c r="AP177" s="34"/>
      <c r="AQ177" s="34"/>
      <c r="AR177" s="34"/>
      <c r="AS177" s="34"/>
      <c r="AT177" s="34"/>
      <c r="AU177" s="34"/>
      <c r="AV177" s="34"/>
      <c r="AW177" s="34"/>
      <c r="AX177" s="34"/>
      <c r="AY177" s="34"/>
      <c r="AZ177" s="34"/>
      <c r="BA177" s="5"/>
    </row>
    <row r="178" spans="1:53" ht="15" thickBot="1" x14ac:dyDescent="0.4">
      <c r="A178" s="24" t="s">
        <v>297</v>
      </c>
      <c r="B178" s="24" t="s">
        <v>297</v>
      </c>
      <c r="C178" s="24" t="s">
        <v>297</v>
      </c>
      <c r="D178" s="24" t="s">
        <v>297</v>
      </c>
      <c r="E178" s="24" t="s">
        <v>296</v>
      </c>
      <c r="F178" s="24" t="s">
        <v>297</v>
      </c>
      <c r="G178" s="24" t="s">
        <v>297</v>
      </c>
      <c r="H178" s="24" t="s">
        <v>297</v>
      </c>
      <c r="I178" s="24" t="s">
        <v>297</v>
      </c>
      <c r="J178" s="5" t="s">
        <v>18</v>
      </c>
      <c r="K178" s="5" t="s">
        <v>406</v>
      </c>
      <c r="L178" s="5" t="s">
        <v>104</v>
      </c>
      <c r="M178" s="5" t="s">
        <v>105</v>
      </c>
      <c r="N178" s="5" t="s">
        <v>383</v>
      </c>
      <c r="O178" s="5">
        <v>1E-3</v>
      </c>
      <c r="P178" s="91"/>
      <c r="Q178" s="91"/>
      <c r="R178" s="287">
        <v>496.68302999999997</v>
      </c>
      <c r="S178" s="91"/>
      <c r="T178" s="91"/>
      <c r="U178" s="91"/>
      <c r="V178" s="99">
        <f t="shared" si="5"/>
        <v>496.68299999999999</v>
      </c>
      <c r="W178" s="34"/>
      <c r="X178" s="34"/>
      <c r="Y178" s="34"/>
      <c r="Z178" s="34"/>
      <c r="AA178" s="34"/>
      <c r="AB178" s="34"/>
      <c r="AC178" s="34"/>
      <c r="AD178" s="34"/>
      <c r="AE178" s="34"/>
      <c r="AF178" s="34"/>
      <c r="AG178" s="34"/>
      <c r="AH178" s="34"/>
      <c r="AI178" s="34" t="s">
        <v>296</v>
      </c>
      <c r="AJ178" s="34"/>
      <c r="AK178" s="34"/>
      <c r="AL178" s="34"/>
      <c r="AM178" s="34"/>
      <c r="AN178" s="34"/>
      <c r="AO178" s="34"/>
      <c r="AP178" s="34"/>
      <c r="AQ178" s="34"/>
      <c r="AR178" s="34"/>
      <c r="AS178" s="34"/>
      <c r="AT178" s="34"/>
      <c r="AU178" s="34"/>
      <c r="AV178" s="34"/>
      <c r="AW178" s="34"/>
      <c r="AX178" s="34"/>
      <c r="AY178" s="34"/>
      <c r="AZ178" s="34"/>
      <c r="BA178" s="5"/>
    </row>
    <row r="179" spans="1:53" ht="39.5" thickBot="1" x14ac:dyDescent="0.4">
      <c r="A179" s="24" t="s">
        <v>297</v>
      </c>
      <c r="B179" s="24" t="s">
        <v>297</v>
      </c>
      <c r="C179" s="24" t="s">
        <v>297</v>
      </c>
      <c r="D179" s="24" t="s">
        <v>297</v>
      </c>
      <c r="E179" s="24" t="s">
        <v>296</v>
      </c>
      <c r="F179" s="24" t="s">
        <v>297</v>
      </c>
      <c r="G179" s="24" t="s">
        <v>297</v>
      </c>
      <c r="H179" s="24" t="s">
        <v>297</v>
      </c>
      <c r="I179" s="24" t="s">
        <v>297</v>
      </c>
      <c r="J179" s="5" t="s">
        <v>684</v>
      </c>
      <c r="K179" s="5" t="s">
        <v>406</v>
      </c>
      <c r="L179" s="5" t="s">
        <v>107</v>
      </c>
      <c r="M179" s="5" t="s">
        <v>105</v>
      </c>
      <c r="N179" s="5" t="s">
        <v>383</v>
      </c>
      <c r="O179" s="5">
        <v>1E-3</v>
      </c>
      <c r="P179" s="91"/>
      <c r="Q179" s="91"/>
      <c r="R179" s="287">
        <v>0</v>
      </c>
      <c r="S179" s="91"/>
      <c r="T179" s="91"/>
      <c r="U179" s="91"/>
      <c r="V179" s="99">
        <f t="shared" si="5"/>
        <v>0</v>
      </c>
      <c r="W179" s="34"/>
      <c r="X179" s="34"/>
      <c r="Y179" s="34"/>
      <c r="Z179" s="34"/>
      <c r="AA179" s="34"/>
      <c r="AB179" s="34"/>
      <c r="AC179" s="34"/>
      <c r="AD179" s="34"/>
      <c r="AE179" s="34"/>
      <c r="AF179" s="34"/>
      <c r="AG179" s="34"/>
      <c r="AH179" s="34"/>
      <c r="AI179" s="34" t="s">
        <v>296</v>
      </c>
      <c r="AJ179" s="34"/>
      <c r="AK179" s="34"/>
      <c r="AL179" s="34"/>
      <c r="AM179" s="34"/>
      <c r="AN179" s="34"/>
      <c r="AO179" s="34"/>
      <c r="AP179" s="34"/>
      <c r="AQ179" s="34"/>
      <c r="AR179" s="34" t="s">
        <v>296</v>
      </c>
      <c r="AS179" s="34"/>
      <c r="AT179" s="34"/>
      <c r="AU179" s="34"/>
      <c r="AV179" s="34"/>
      <c r="AW179" s="34"/>
      <c r="AX179" s="34"/>
      <c r="AY179" s="34"/>
      <c r="AZ179" s="34"/>
      <c r="BA179" s="5" t="s">
        <v>1047</v>
      </c>
    </row>
    <row r="180" spans="1:53" ht="39.5" thickBot="1" x14ac:dyDescent="0.4">
      <c r="A180" s="24" t="s">
        <v>297</v>
      </c>
      <c r="B180" s="24" t="s">
        <v>297</v>
      </c>
      <c r="C180" s="24" t="s">
        <v>297</v>
      </c>
      <c r="D180" s="24" t="s">
        <v>297</v>
      </c>
      <c r="E180" s="24" t="s">
        <v>296</v>
      </c>
      <c r="F180" s="24" t="s">
        <v>297</v>
      </c>
      <c r="G180" s="24" t="s">
        <v>297</v>
      </c>
      <c r="H180" s="24" t="s">
        <v>297</v>
      </c>
      <c r="I180" s="24" t="s">
        <v>297</v>
      </c>
      <c r="J180" s="5" t="s">
        <v>684</v>
      </c>
      <c r="K180" s="5" t="s">
        <v>406</v>
      </c>
      <c r="L180" s="5" t="s">
        <v>393</v>
      </c>
      <c r="M180" s="5" t="s">
        <v>105</v>
      </c>
      <c r="N180" s="5" t="s">
        <v>383</v>
      </c>
      <c r="O180" s="5">
        <v>1E-3</v>
      </c>
      <c r="P180" s="91"/>
      <c r="Q180" s="91"/>
      <c r="R180" s="287">
        <v>0</v>
      </c>
      <c r="S180" s="91"/>
      <c r="T180" s="91"/>
      <c r="U180" s="91"/>
      <c r="V180" s="99">
        <f t="shared" si="5"/>
        <v>0</v>
      </c>
      <c r="W180" s="34"/>
      <c r="X180" s="34"/>
      <c r="Y180" s="34"/>
      <c r="Z180" s="34"/>
      <c r="AA180" s="34"/>
      <c r="AB180" s="34"/>
      <c r="AC180" s="34"/>
      <c r="AD180" s="34"/>
      <c r="AE180" s="34"/>
      <c r="AF180" s="34"/>
      <c r="AG180" s="34"/>
      <c r="AH180" s="34"/>
      <c r="AI180" s="34" t="s">
        <v>296</v>
      </c>
      <c r="AJ180" s="34"/>
      <c r="AK180" s="34"/>
      <c r="AL180" s="34"/>
      <c r="AM180" s="34"/>
      <c r="AN180" s="34"/>
      <c r="AO180" s="34"/>
      <c r="AP180" s="34"/>
      <c r="AQ180" s="34"/>
      <c r="AR180" s="34" t="s">
        <v>296</v>
      </c>
      <c r="AS180" s="34"/>
      <c r="AT180" s="34"/>
      <c r="AU180" s="34"/>
      <c r="AV180" s="34"/>
      <c r="AW180" s="34"/>
      <c r="AX180" s="34"/>
      <c r="AY180" s="34"/>
      <c r="AZ180" s="34"/>
      <c r="BA180" s="5" t="s">
        <v>1047</v>
      </c>
    </row>
    <row r="181" spans="1:53" ht="78.5" thickBot="1" x14ac:dyDescent="0.4">
      <c r="A181" s="24" t="s">
        <v>297</v>
      </c>
      <c r="B181" s="24" t="s">
        <v>297</v>
      </c>
      <c r="C181" s="24" t="s">
        <v>297</v>
      </c>
      <c r="D181" s="24" t="s">
        <v>297</v>
      </c>
      <c r="E181" s="24" t="s">
        <v>296</v>
      </c>
      <c r="F181" s="24" t="s">
        <v>297</v>
      </c>
      <c r="G181" s="24" t="s">
        <v>297</v>
      </c>
      <c r="H181" s="24" t="s">
        <v>297</v>
      </c>
      <c r="I181" s="24" t="s">
        <v>297</v>
      </c>
      <c r="J181" s="5" t="s">
        <v>684</v>
      </c>
      <c r="K181" s="5" t="s">
        <v>406</v>
      </c>
      <c r="L181" s="5" t="s">
        <v>104</v>
      </c>
      <c r="M181" s="5" t="s">
        <v>105</v>
      </c>
      <c r="N181" s="5" t="s">
        <v>383</v>
      </c>
      <c r="O181" s="5">
        <v>1E-3</v>
      </c>
      <c r="P181" s="91"/>
      <c r="Q181" s="91"/>
      <c r="R181" s="287">
        <f>R178-(10*2*P145)</f>
        <v>492.66762999999997</v>
      </c>
      <c r="S181" s="91"/>
      <c r="T181" s="91"/>
      <c r="U181" s="91"/>
      <c r="V181" s="99">
        <f t="shared" si="5"/>
        <v>492.66800000000001</v>
      </c>
      <c r="W181" s="34"/>
      <c r="X181" s="34"/>
      <c r="Y181" s="34"/>
      <c r="Z181" s="34"/>
      <c r="AA181" s="34"/>
      <c r="AB181" s="34"/>
      <c r="AC181" s="34"/>
      <c r="AD181" s="34"/>
      <c r="AE181" s="34"/>
      <c r="AF181" s="34"/>
      <c r="AG181" s="34"/>
      <c r="AH181" s="34"/>
      <c r="AI181" s="34" t="s">
        <v>296</v>
      </c>
      <c r="AJ181" s="34"/>
      <c r="AK181" s="34"/>
      <c r="AL181" s="34"/>
      <c r="AM181" s="34"/>
      <c r="AN181" s="34"/>
      <c r="AO181" s="34"/>
      <c r="AP181" s="34"/>
      <c r="AQ181" s="34"/>
      <c r="AR181" s="34" t="s">
        <v>296</v>
      </c>
      <c r="AS181" s="34"/>
      <c r="AT181" s="34"/>
      <c r="AU181" s="34"/>
      <c r="AV181" s="34"/>
      <c r="AW181" s="34"/>
      <c r="AX181" s="34"/>
      <c r="AY181" s="34"/>
      <c r="AZ181" s="34"/>
      <c r="BA181" s="5" t="s">
        <v>1048</v>
      </c>
    </row>
    <row r="182" spans="1:53" ht="15" thickBot="1" x14ac:dyDescent="0.4">
      <c r="A182" s="24" t="s">
        <v>297</v>
      </c>
      <c r="B182" s="24" t="s">
        <v>297</v>
      </c>
      <c r="C182" s="24" t="s">
        <v>297</v>
      </c>
      <c r="D182" s="24" t="s">
        <v>297</v>
      </c>
      <c r="E182" s="24" t="s">
        <v>296</v>
      </c>
      <c r="F182" s="24" t="s">
        <v>297</v>
      </c>
      <c r="G182" s="24" t="s">
        <v>297</v>
      </c>
      <c r="H182" s="24" t="s">
        <v>297</v>
      </c>
      <c r="I182" s="24" t="s">
        <v>297</v>
      </c>
      <c r="J182" s="5" t="s">
        <v>18</v>
      </c>
      <c r="K182" s="5" t="s">
        <v>407</v>
      </c>
      <c r="L182" s="5" t="s">
        <v>393</v>
      </c>
      <c r="M182" s="5" t="s">
        <v>105</v>
      </c>
      <c r="N182" s="5" t="s">
        <v>383</v>
      </c>
      <c r="O182" s="5">
        <v>1E-3</v>
      </c>
      <c r="P182" s="91"/>
      <c r="Q182" s="91"/>
      <c r="R182" s="287">
        <v>6.4106100000000001</v>
      </c>
      <c r="S182" s="91"/>
      <c r="T182" s="91"/>
      <c r="U182" s="91"/>
      <c r="V182" s="99">
        <f t="shared" si="5"/>
        <v>6.4109999999999996</v>
      </c>
      <c r="W182" s="34"/>
      <c r="X182" s="34"/>
      <c r="Y182" s="34"/>
      <c r="Z182" s="34"/>
      <c r="AA182" s="34"/>
      <c r="AB182" s="34"/>
      <c r="AC182" s="34"/>
      <c r="AD182" s="34"/>
      <c r="AE182" s="34"/>
      <c r="AF182" s="34"/>
      <c r="AG182" s="34"/>
      <c r="AH182" s="34"/>
      <c r="AI182" s="34" t="s">
        <v>296</v>
      </c>
      <c r="AJ182" s="34"/>
      <c r="AK182" s="34"/>
      <c r="AL182" s="34"/>
      <c r="AM182" s="34"/>
      <c r="AN182" s="34"/>
      <c r="AO182" s="34"/>
      <c r="AP182" s="34"/>
      <c r="AQ182" s="34"/>
      <c r="AR182" s="34"/>
      <c r="AS182" s="34"/>
      <c r="AT182" s="34"/>
      <c r="AU182" s="34"/>
      <c r="AV182" s="34"/>
      <c r="AW182" s="34"/>
      <c r="AX182" s="34"/>
      <c r="AY182" s="34"/>
      <c r="AZ182" s="34"/>
      <c r="BA182" s="5"/>
    </row>
    <row r="183" spans="1:53" ht="15" thickBot="1" x14ac:dyDescent="0.4">
      <c r="A183" s="24" t="s">
        <v>297</v>
      </c>
      <c r="B183" s="24" t="s">
        <v>297</v>
      </c>
      <c r="C183" s="24" t="s">
        <v>297</v>
      </c>
      <c r="D183" s="24" t="s">
        <v>297</v>
      </c>
      <c r="E183" s="24" t="s">
        <v>296</v>
      </c>
      <c r="F183" s="24" t="s">
        <v>297</v>
      </c>
      <c r="G183" s="24" t="s">
        <v>297</v>
      </c>
      <c r="H183" s="24" t="s">
        <v>297</v>
      </c>
      <c r="I183" s="24" t="s">
        <v>297</v>
      </c>
      <c r="J183" s="5" t="s">
        <v>18</v>
      </c>
      <c r="K183" s="5" t="s">
        <v>407</v>
      </c>
      <c r="L183" s="5" t="s">
        <v>397</v>
      </c>
      <c r="M183" s="5" t="s">
        <v>105</v>
      </c>
      <c r="N183" s="5" t="s">
        <v>383</v>
      </c>
      <c r="O183" s="5">
        <v>1E-3</v>
      </c>
      <c r="P183" s="91"/>
      <c r="Q183" s="91"/>
      <c r="R183" s="287">
        <v>8.8838600000000003</v>
      </c>
      <c r="S183" s="91"/>
      <c r="T183" s="91"/>
      <c r="U183" s="91"/>
      <c r="V183" s="99">
        <f t="shared" si="5"/>
        <v>8.8840000000000003</v>
      </c>
      <c r="W183" s="34"/>
      <c r="X183" s="34"/>
      <c r="Y183" s="34"/>
      <c r="Z183" s="34"/>
      <c r="AA183" s="34"/>
      <c r="AB183" s="34"/>
      <c r="AC183" s="34"/>
      <c r="AD183" s="34"/>
      <c r="AE183" s="34"/>
      <c r="AF183" s="34"/>
      <c r="AG183" s="34"/>
      <c r="AH183" s="34"/>
      <c r="AI183" s="34" t="s">
        <v>296</v>
      </c>
      <c r="AJ183" s="34"/>
      <c r="AK183" s="34"/>
      <c r="AL183" s="34"/>
      <c r="AM183" s="34"/>
      <c r="AN183" s="34"/>
      <c r="AO183" s="34"/>
      <c r="AP183" s="34"/>
      <c r="AQ183" s="34"/>
      <c r="AR183" s="34"/>
      <c r="AS183" s="34"/>
      <c r="AT183" s="34"/>
      <c r="AU183" s="34"/>
      <c r="AV183" s="34"/>
      <c r="AW183" s="34"/>
      <c r="AX183" s="34"/>
      <c r="AY183" s="34"/>
      <c r="AZ183" s="34"/>
      <c r="BA183" s="5"/>
    </row>
    <row r="184" spans="1:53" ht="15" thickBot="1" x14ac:dyDescent="0.4">
      <c r="A184" s="24" t="s">
        <v>297</v>
      </c>
      <c r="B184" s="24" t="s">
        <v>297</v>
      </c>
      <c r="C184" s="24" t="s">
        <v>297</v>
      </c>
      <c r="D184" s="24" t="s">
        <v>297</v>
      </c>
      <c r="E184" s="24" t="s">
        <v>296</v>
      </c>
      <c r="F184" s="24" t="s">
        <v>297</v>
      </c>
      <c r="G184" s="24" t="s">
        <v>297</v>
      </c>
      <c r="H184" s="24" t="s">
        <v>297</v>
      </c>
      <c r="I184" s="24" t="s">
        <v>297</v>
      </c>
      <c r="J184" s="5" t="s">
        <v>18</v>
      </c>
      <c r="K184" s="5" t="s">
        <v>407</v>
      </c>
      <c r="L184" s="5" t="s">
        <v>104</v>
      </c>
      <c r="M184" s="5" t="s">
        <v>105</v>
      </c>
      <c r="N184" s="5" t="s">
        <v>383</v>
      </c>
      <c r="O184" s="5">
        <v>1E-3</v>
      </c>
      <c r="P184" s="91"/>
      <c r="Q184" s="91"/>
      <c r="R184" s="287">
        <v>700.20961</v>
      </c>
      <c r="S184" s="91"/>
      <c r="T184" s="91"/>
      <c r="U184" s="91"/>
      <c r="V184" s="99">
        <f t="shared" si="5"/>
        <v>700.21</v>
      </c>
      <c r="W184" s="34"/>
      <c r="X184" s="34"/>
      <c r="Y184" s="34"/>
      <c r="Z184" s="34"/>
      <c r="AA184" s="34"/>
      <c r="AB184" s="34"/>
      <c r="AC184" s="34"/>
      <c r="AD184" s="34"/>
      <c r="AE184" s="34"/>
      <c r="AF184" s="34"/>
      <c r="AG184" s="34"/>
      <c r="AH184" s="34"/>
      <c r="AI184" s="34" t="s">
        <v>296</v>
      </c>
      <c r="AJ184" s="34"/>
      <c r="AK184" s="34"/>
      <c r="AL184" s="34"/>
      <c r="AM184" s="34"/>
      <c r="AN184" s="34"/>
      <c r="AO184" s="34"/>
      <c r="AP184" s="34"/>
      <c r="AQ184" s="34"/>
      <c r="AR184" s="34"/>
      <c r="AS184" s="34"/>
      <c r="AT184" s="34"/>
      <c r="AU184" s="34"/>
      <c r="AV184" s="34"/>
      <c r="AW184" s="34"/>
      <c r="AX184" s="34"/>
      <c r="AY184" s="34"/>
      <c r="AZ184" s="34"/>
      <c r="BA184" s="5"/>
    </row>
    <row r="185" spans="1:53" ht="26.5" thickBot="1" x14ac:dyDescent="0.4">
      <c r="A185" s="24" t="s">
        <v>297</v>
      </c>
      <c r="B185" s="24" t="s">
        <v>297</v>
      </c>
      <c r="C185" s="24" t="s">
        <v>297</v>
      </c>
      <c r="D185" s="24" t="s">
        <v>297</v>
      </c>
      <c r="E185" s="24" t="s">
        <v>296</v>
      </c>
      <c r="F185" s="24" t="s">
        <v>297</v>
      </c>
      <c r="G185" s="24" t="s">
        <v>297</v>
      </c>
      <c r="H185" s="24" t="s">
        <v>297</v>
      </c>
      <c r="I185" s="24" t="s">
        <v>297</v>
      </c>
      <c r="J185" s="5" t="s">
        <v>18</v>
      </c>
      <c r="K185" s="5" t="s">
        <v>407</v>
      </c>
      <c r="L185" s="5" t="s">
        <v>398</v>
      </c>
      <c r="M185" s="5" t="s">
        <v>105</v>
      </c>
      <c r="N185" s="5" t="s">
        <v>383</v>
      </c>
      <c r="O185" s="5">
        <v>1E-3</v>
      </c>
      <c r="P185" s="91"/>
      <c r="Q185" s="91"/>
      <c r="R185" s="287">
        <v>8.8838600000000003</v>
      </c>
      <c r="S185" s="91"/>
      <c r="T185" s="91"/>
      <c r="U185" s="91"/>
      <c r="V185" s="99">
        <f t="shared" si="5"/>
        <v>8.8840000000000003</v>
      </c>
      <c r="W185" s="34"/>
      <c r="X185" s="34"/>
      <c r="Y185" s="34"/>
      <c r="Z185" s="34"/>
      <c r="AA185" s="34"/>
      <c r="AB185" s="34"/>
      <c r="AC185" s="34"/>
      <c r="AD185" s="34"/>
      <c r="AE185" s="34"/>
      <c r="AF185" s="34"/>
      <c r="AG185" s="34"/>
      <c r="AH185" s="34"/>
      <c r="AI185" s="34" t="s">
        <v>296</v>
      </c>
      <c r="AJ185" s="34"/>
      <c r="AK185" s="34"/>
      <c r="AL185" s="34"/>
      <c r="AM185" s="34"/>
      <c r="AN185" s="34"/>
      <c r="AO185" s="34"/>
      <c r="AP185" s="34"/>
      <c r="AQ185" s="34"/>
      <c r="AR185" s="34"/>
      <c r="AS185" s="34"/>
      <c r="AT185" s="34"/>
      <c r="AU185" s="34"/>
      <c r="AV185" s="34"/>
      <c r="AW185" s="34"/>
      <c r="AX185" s="34"/>
      <c r="AY185" s="34"/>
      <c r="AZ185" s="34"/>
      <c r="BA185" s="5"/>
    </row>
    <row r="186" spans="1:53" ht="39.5" thickBot="1" x14ac:dyDescent="0.4">
      <c r="A186" s="24" t="s">
        <v>297</v>
      </c>
      <c r="B186" s="24" t="s">
        <v>297</v>
      </c>
      <c r="C186" s="24" t="s">
        <v>297</v>
      </c>
      <c r="D186" s="24" t="s">
        <v>297</v>
      </c>
      <c r="E186" s="24" t="s">
        <v>296</v>
      </c>
      <c r="F186" s="24" t="s">
        <v>297</v>
      </c>
      <c r="G186" s="24" t="s">
        <v>297</v>
      </c>
      <c r="H186" s="24" t="s">
        <v>297</v>
      </c>
      <c r="I186" s="24" t="s">
        <v>297</v>
      </c>
      <c r="J186" s="5" t="s">
        <v>684</v>
      </c>
      <c r="K186" s="5" t="s">
        <v>407</v>
      </c>
      <c r="L186" s="5" t="s">
        <v>393</v>
      </c>
      <c r="M186" s="5" t="s">
        <v>105</v>
      </c>
      <c r="N186" s="5" t="s">
        <v>383</v>
      </c>
      <c r="O186" s="5">
        <v>1E-3</v>
      </c>
      <c r="P186" s="91"/>
      <c r="Q186" s="91"/>
      <c r="R186" s="287">
        <v>0</v>
      </c>
      <c r="S186" s="91"/>
      <c r="T186" s="91"/>
      <c r="U186" s="91"/>
      <c r="V186" s="99">
        <f t="shared" si="5"/>
        <v>0</v>
      </c>
      <c r="W186" s="34"/>
      <c r="X186" s="34"/>
      <c r="Y186" s="34"/>
      <c r="Z186" s="34"/>
      <c r="AA186" s="34"/>
      <c r="AB186" s="34"/>
      <c r="AC186" s="34"/>
      <c r="AD186" s="34"/>
      <c r="AE186" s="34"/>
      <c r="AF186" s="34"/>
      <c r="AG186" s="34"/>
      <c r="AH186" s="34"/>
      <c r="AI186" s="34" t="s">
        <v>296</v>
      </c>
      <c r="AJ186" s="34"/>
      <c r="AK186" s="34"/>
      <c r="AL186" s="34"/>
      <c r="AM186" s="34"/>
      <c r="AN186" s="34"/>
      <c r="AO186" s="34"/>
      <c r="AP186" s="34"/>
      <c r="AQ186" s="34"/>
      <c r="AR186" s="34" t="s">
        <v>296</v>
      </c>
      <c r="AS186" s="34"/>
      <c r="AT186" s="34"/>
      <c r="AU186" s="34"/>
      <c r="AV186" s="34"/>
      <c r="AW186" s="34"/>
      <c r="AX186" s="34"/>
      <c r="AY186" s="34"/>
      <c r="AZ186" s="34"/>
      <c r="BA186" s="5" t="s">
        <v>1047</v>
      </c>
    </row>
    <row r="187" spans="1:53" ht="39.5" thickBot="1" x14ac:dyDescent="0.4">
      <c r="A187" s="24" t="s">
        <v>297</v>
      </c>
      <c r="B187" s="24" t="s">
        <v>297</v>
      </c>
      <c r="C187" s="24" t="s">
        <v>297</v>
      </c>
      <c r="D187" s="24" t="s">
        <v>297</v>
      </c>
      <c r="E187" s="24" t="s">
        <v>296</v>
      </c>
      <c r="F187" s="24" t="s">
        <v>297</v>
      </c>
      <c r="G187" s="24" t="s">
        <v>297</v>
      </c>
      <c r="H187" s="24" t="s">
        <v>297</v>
      </c>
      <c r="I187" s="24" t="s">
        <v>297</v>
      </c>
      <c r="J187" s="5" t="s">
        <v>684</v>
      </c>
      <c r="K187" s="5" t="s">
        <v>407</v>
      </c>
      <c r="L187" s="5" t="s">
        <v>397</v>
      </c>
      <c r="M187" s="5" t="s">
        <v>105</v>
      </c>
      <c r="N187" s="5" t="s">
        <v>383</v>
      </c>
      <c r="O187" s="5">
        <v>1E-3</v>
      </c>
      <c r="P187" s="91"/>
      <c r="Q187" s="91"/>
      <c r="R187" s="287">
        <v>0</v>
      </c>
      <c r="S187" s="91"/>
      <c r="T187" s="91"/>
      <c r="U187" s="91"/>
      <c r="V187" s="99">
        <f t="shared" si="5"/>
        <v>0</v>
      </c>
      <c r="W187" s="34"/>
      <c r="X187" s="34"/>
      <c r="Y187" s="34"/>
      <c r="Z187" s="34"/>
      <c r="AA187" s="34"/>
      <c r="AB187" s="34"/>
      <c r="AC187" s="34"/>
      <c r="AD187" s="34"/>
      <c r="AE187" s="34"/>
      <c r="AF187" s="34"/>
      <c r="AG187" s="34"/>
      <c r="AH187" s="34"/>
      <c r="AI187" s="34" t="s">
        <v>296</v>
      </c>
      <c r="AJ187" s="34"/>
      <c r="AK187" s="34"/>
      <c r="AL187" s="34"/>
      <c r="AM187" s="34"/>
      <c r="AN187" s="34"/>
      <c r="AO187" s="34"/>
      <c r="AP187" s="34"/>
      <c r="AQ187" s="34"/>
      <c r="AR187" s="34" t="s">
        <v>296</v>
      </c>
      <c r="AS187" s="34"/>
      <c r="AT187" s="34"/>
      <c r="AU187" s="34"/>
      <c r="AV187" s="34"/>
      <c r="AW187" s="34"/>
      <c r="AX187" s="34"/>
      <c r="AY187" s="34"/>
      <c r="AZ187" s="34"/>
      <c r="BA187" s="5" t="s">
        <v>1047</v>
      </c>
    </row>
    <row r="188" spans="1:53" ht="78.5" thickBot="1" x14ac:dyDescent="0.4">
      <c r="A188" s="24" t="s">
        <v>297</v>
      </c>
      <c r="B188" s="24" t="s">
        <v>297</v>
      </c>
      <c r="C188" s="24" t="s">
        <v>297</v>
      </c>
      <c r="D188" s="24" t="s">
        <v>297</v>
      </c>
      <c r="E188" s="24" t="s">
        <v>296</v>
      </c>
      <c r="F188" s="24" t="s">
        <v>297</v>
      </c>
      <c r="G188" s="24" t="s">
        <v>297</v>
      </c>
      <c r="H188" s="24" t="s">
        <v>297</v>
      </c>
      <c r="I188" s="24" t="s">
        <v>297</v>
      </c>
      <c r="J188" s="5" t="s">
        <v>684</v>
      </c>
      <c r="K188" s="5" t="s">
        <v>407</v>
      </c>
      <c r="L188" s="5" t="s">
        <v>104</v>
      </c>
      <c r="M188" s="5" t="s">
        <v>105</v>
      </c>
      <c r="N188" s="5" t="s">
        <v>383</v>
      </c>
      <c r="O188" s="5">
        <v>1E-3</v>
      </c>
      <c r="P188" s="91"/>
      <c r="Q188" s="91"/>
      <c r="R188" s="287">
        <f>R184-(10*2*P145)</f>
        <v>696.19421</v>
      </c>
      <c r="S188" s="91"/>
      <c r="T188" s="91"/>
      <c r="U188" s="91"/>
      <c r="V188" s="99">
        <f t="shared" si="5"/>
        <v>696.19399999999996</v>
      </c>
      <c r="W188" s="34"/>
      <c r="X188" s="34"/>
      <c r="Y188" s="34"/>
      <c r="Z188" s="34"/>
      <c r="AA188" s="34"/>
      <c r="AB188" s="34"/>
      <c r="AC188" s="34"/>
      <c r="AD188" s="34"/>
      <c r="AE188" s="34"/>
      <c r="AF188" s="34"/>
      <c r="AG188" s="34"/>
      <c r="AH188" s="34"/>
      <c r="AI188" s="34" t="s">
        <v>296</v>
      </c>
      <c r="AJ188" s="34"/>
      <c r="AK188" s="34"/>
      <c r="AL188" s="34"/>
      <c r="AM188" s="34"/>
      <c r="AN188" s="34"/>
      <c r="AO188" s="34"/>
      <c r="AP188" s="34"/>
      <c r="AQ188" s="34"/>
      <c r="AR188" s="34" t="s">
        <v>296</v>
      </c>
      <c r="AS188" s="34"/>
      <c r="AT188" s="34"/>
      <c r="AU188" s="34"/>
      <c r="AV188" s="34"/>
      <c r="AW188" s="34"/>
      <c r="AX188" s="34"/>
      <c r="AY188" s="34"/>
      <c r="AZ188" s="34"/>
      <c r="BA188" s="5" t="s">
        <v>1048</v>
      </c>
    </row>
    <row r="189" spans="1:53" ht="39.5" thickBot="1" x14ac:dyDescent="0.4">
      <c r="A189" s="24" t="s">
        <v>297</v>
      </c>
      <c r="B189" s="24" t="s">
        <v>297</v>
      </c>
      <c r="C189" s="24" t="s">
        <v>297</v>
      </c>
      <c r="D189" s="24" t="s">
        <v>297</v>
      </c>
      <c r="E189" s="24" t="s">
        <v>296</v>
      </c>
      <c r="F189" s="24" t="s">
        <v>297</v>
      </c>
      <c r="G189" s="24" t="s">
        <v>297</v>
      </c>
      <c r="H189" s="24" t="s">
        <v>297</v>
      </c>
      <c r="I189" s="24" t="s">
        <v>297</v>
      </c>
      <c r="J189" s="5" t="s">
        <v>684</v>
      </c>
      <c r="K189" s="5" t="s">
        <v>407</v>
      </c>
      <c r="L189" s="5" t="s">
        <v>398</v>
      </c>
      <c r="M189" s="5" t="s">
        <v>105</v>
      </c>
      <c r="N189" s="5" t="s">
        <v>383</v>
      </c>
      <c r="O189" s="5">
        <v>1E-3</v>
      </c>
      <c r="P189" s="91"/>
      <c r="Q189" s="91"/>
      <c r="R189" s="287">
        <v>0</v>
      </c>
      <c r="S189" s="91"/>
      <c r="T189" s="91"/>
      <c r="U189" s="91"/>
      <c r="V189" s="99">
        <f t="shared" si="5"/>
        <v>0</v>
      </c>
      <c r="W189" s="34"/>
      <c r="X189" s="34"/>
      <c r="Y189" s="34"/>
      <c r="Z189" s="34"/>
      <c r="AA189" s="34"/>
      <c r="AB189" s="34"/>
      <c r="AC189" s="34"/>
      <c r="AD189" s="34"/>
      <c r="AE189" s="34"/>
      <c r="AF189" s="34"/>
      <c r="AG189" s="34"/>
      <c r="AH189" s="34"/>
      <c r="AI189" s="34" t="s">
        <v>296</v>
      </c>
      <c r="AJ189" s="34"/>
      <c r="AK189" s="34"/>
      <c r="AL189" s="34"/>
      <c r="AM189" s="34"/>
      <c r="AN189" s="34"/>
      <c r="AO189" s="34"/>
      <c r="AP189" s="34"/>
      <c r="AQ189" s="34"/>
      <c r="AR189" s="34" t="s">
        <v>296</v>
      </c>
      <c r="AS189" s="34"/>
      <c r="AT189" s="34"/>
      <c r="AU189" s="34"/>
      <c r="AV189" s="34"/>
      <c r="AW189" s="34"/>
      <c r="AX189" s="34"/>
      <c r="AY189" s="34"/>
      <c r="AZ189" s="34"/>
      <c r="BA189" s="5" t="s">
        <v>1047</v>
      </c>
    </row>
    <row r="190" spans="1:53" ht="15" thickBot="1" x14ac:dyDescent="0.4">
      <c r="A190" s="24" t="s">
        <v>297</v>
      </c>
      <c r="B190" s="24" t="s">
        <v>297</v>
      </c>
      <c r="C190" s="24" t="s">
        <v>297</v>
      </c>
      <c r="D190" s="24" t="s">
        <v>297</v>
      </c>
      <c r="E190" s="24" t="s">
        <v>296</v>
      </c>
      <c r="F190" s="24" t="s">
        <v>297</v>
      </c>
      <c r="G190" s="24" t="s">
        <v>297</v>
      </c>
      <c r="H190" s="24" t="s">
        <v>297</v>
      </c>
      <c r="I190" s="24" t="s">
        <v>297</v>
      </c>
      <c r="J190" s="5" t="s">
        <v>18</v>
      </c>
      <c r="K190" s="5" t="s">
        <v>408</v>
      </c>
      <c r="L190" s="5" t="s">
        <v>393</v>
      </c>
      <c r="M190" s="5" t="s">
        <v>105</v>
      </c>
      <c r="N190" s="5" t="s">
        <v>383</v>
      </c>
      <c r="O190" s="5">
        <v>1E-3</v>
      </c>
      <c r="P190" s="91"/>
      <c r="Q190" s="91"/>
      <c r="R190" s="287">
        <v>6.4106100000000001</v>
      </c>
      <c r="S190" s="91"/>
      <c r="T190" s="91"/>
      <c r="U190" s="91"/>
      <c r="V190" s="99">
        <f t="shared" si="5"/>
        <v>6.4109999999999996</v>
      </c>
      <c r="W190" s="34"/>
      <c r="X190" s="34"/>
      <c r="Y190" s="34"/>
      <c r="Z190" s="34"/>
      <c r="AA190" s="34"/>
      <c r="AB190" s="34"/>
      <c r="AC190" s="34"/>
      <c r="AD190" s="34"/>
      <c r="AE190" s="34"/>
      <c r="AF190" s="34"/>
      <c r="AG190" s="34"/>
      <c r="AH190" s="34"/>
      <c r="AI190" s="34" t="s">
        <v>296</v>
      </c>
      <c r="AJ190" s="34"/>
      <c r="AK190" s="34"/>
      <c r="AL190" s="34"/>
      <c r="AM190" s="34"/>
      <c r="AN190" s="34"/>
      <c r="AO190" s="34"/>
      <c r="AP190" s="34"/>
      <c r="AQ190" s="34"/>
      <c r="AR190" s="34"/>
      <c r="AS190" s="34"/>
      <c r="AT190" s="34"/>
      <c r="AU190" s="34"/>
      <c r="AV190" s="34"/>
      <c r="AW190" s="34"/>
      <c r="AX190" s="34"/>
      <c r="AY190" s="34"/>
      <c r="AZ190" s="34"/>
      <c r="BA190" s="5"/>
    </row>
    <row r="191" spans="1:53" ht="15" thickBot="1" x14ac:dyDescent="0.4">
      <c r="A191" s="24" t="s">
        <v>297</v>
      </c>
      <c r="B191" s="24" t="s">
        <v>297</v>
      </c>
      <c r="C191" s="24" t="s">
        <v>297</v>
      </c>
      <c r="D191" s="24" t="s">
        <v>297</v>
      </c>
      <c r="E191" s="24" t="s">
        <v>296</v>
      </c>
      <c r="F191" s="24" t="s">
        <v>297</v>
      </c>
      <c r="G191" s="24" t="s">
        <v>297</v>
      </c>
      <c r="H191" s="24" t="s">
        <v>297</v>
      </c>
      <c r="I191" s="24" t="s">
        <v>297</v>
      </c>
      <c r="J191" s="5" t="s">
        <v>18</v>
      </c>
      <c r="K191" s="5" t="s">
        <v>408</v>
      </c>
      <c r="L191" s="5" t="s">
        <v>397</v>
      </c>
      <c r="M191" s="5" t="s">
        <v>105</v>
      </c>
      <c r="N191" s="5" t="s">
        <v>383</v>
      </c>
      <c r="O191" s="5">
        <v>1E-3</v>
      </c>
      <c r="P191" s="91"/>
      <c r="Q191" s="91"/>
      <c r="R191" s="287">
        <v>8.8838600000000003</v>
      </c>
      <c r="S191" s="91"/>
      <c r="T191" s="91"/>
      <c r="U191" s="91"/>
      <c r="V191" s="99">
        <f t="shared" si="5"/>
        <v>8.8840000000000003</v>
      </c>
      <c r="W191" s="34"/>
      <c r="X191" s="34"/>
      <c r="Y191" s="34"/>
      <c r="Z191" s="34"/>
      <c r="AA191" s="34"/>
      <c r="AB191" s="34"/>
      <c r="AC191" s="34"/>
      <c r="AD191" s="34"/>
      <c r="AE191" s="34"/>
      <c r="AF191" s="34"/>
      <c r="AG191" s="34"/>
      <c r="AH191" s="34"/>
      <c r="AI191" s="34" t="s">
        <v>296</v>
      </c>
      <c r="AJ191" s="34"/>
      <c r="AK191" s="34"/>
      <c r="AL191" s="34"/>
      <c r="AM191" s="34"/>
      <c r="AN191" s="34"/>
      <c r="AO191" s="34"/>
      <c r="AP191" s="34"/>
      <c r="AQ191" s="34"/>
      <c r="AR191" s="34"/>
      <c r="AS191" s="34"/>
      <c r="AT191" s="34"/>
      <c r="AU191" s="34"/>
      <c r="AV191" s="34"/>
      <c r="AW191" s="34"/>
      <c r="AX191" s="34"/>
      <c r="AY191" s="34"/>
      <c r="AZ191" s="34"/>
      <c r="BA191" s="5"/>
    </row>
    <row r="192" spans="1:53" ht="15" thickBot="1" x14ac:dyDescent="0.4">
      <c r="A192" s="24" t="s">
        <v>297</v>
      </c>
      <c r="B192" s="24" t="s">
        <v>297</v>
      </c>
      <c r="C192" s="24" t="s">
        <v>297</v>
      </c>
      <c r="D192" s="24" t="s">
        <v>297</v>
      </c>
      <c r="E192" s="24" t="s">
        <v>296</v>
      </c>
      <c r="F192" s="24" t="s">
        <v>297</v>
      </c>
      <c r="G192" s="24" t="s">
        <v>297</v>
      </c>
      <c r="H192" s="24" t="s">
        <v>297</v>
      </c>
      <c r="I192" s="24" t="s">
        <v>297</v>
      </c>
      <c r="J192" s="5" t="s">
        <v>18</v>
      </c>
      <c r="K192" s="5" t="s">
        <v>408</v>
      </c>
      <c r="L192" s="5" t="s">
        <v>104</v>
      </c>
      <c r="M192" s="5" t="s">
        <v>105</v>
      </c>
      <c r="N192" s="5" t="s">
        <v>383</v>
      </c>
      <c r="O192" s="5">
        <v>1E-3</v>
      </c>
      <c r="P192" s="91"/>
      <c r="Q192" s="91"/>
      <c r="R192" s="287">
        <v>646.60631999999998</v>
      </c>
      <c r="S192" s="91"/>
      <c r="T192" s="91"/>
      <c r="U192" s="91"/>
      <c r="V192" s="99">
        <f t="shared" si="5"/>
        <v>646.60599999999999</v>
      </c>
      <c r="W192" s="34"/>
      <c r="X192" s="34"/>
      <c r="Y192" s="34"/>
      <c r="Z192" s="34"/>
      <c r="AA192" s="34"/>
      <c r="AB192" s="34"/>
      <c r="AC192" s="34"/>
      <c r="AD192" s="34"/>
      <c r="AE192" s="34"/>
      <c r="AF192" s="34"/>
      <c r="AG192" s="34"/>
      <c r="AH192" s="34"/>
      <c r="AI192" s="34" t="s">
        <v>296</v>
      </c>
      <c r="AJ192" s="34"/>
      <c r="AK192" s="34"/>
      <c r="AL192" s="34"/>
      <c r="AM192" s="34"/>
      <c r="AN192" s="34"/>
      <c r="AO192" s="34"/>
      <c r="AP192" s="34"/>
      <c r="AQ192" s="34"/>
      <c r="AR192" s="34"/>
      <c r="AS192" s="34"/>
      <c r="AT192" s="34"/>
      <c r="AU192" s="34"/>
      <c r="AV192" s="34"/>
      <c r="AW192" s="34"/>
      <c r="AX192" s="34"/>
      <c r="AY192" s="34"/>
      <c r="AZ192" s="34"/>
      <c r="BA192" s="5"/>
    </row>
    <row r="193" spans="1:53" ht="26.5" thickBot="1" x14ac:dyDescent="0.4">
      <c r="A193" s="24" t="s">
        <v>297</v>
      </c>
      <c r="B193" s="24" t="s">
        <v>297</v>
      </c>
      <c r="C193" s="24" t="s">
        <v>297</v>
      </c>
      <c r="D193" s="24" t="s">
        <v>297</v>
      </c>
      <c r="E193" s="24" t="s">
        <v>296</v>
      </c>
      <c r="F193" s="24" t="s">
        <v>297</v>
      </c>
      <c r="G193" s="24" t="s">
        <v>297</v>
      </c>
      <c r="H193" s="24" t="s">
        <v>297</v>
      </c>
      <c r="I193" s="24" t="s">
        <v>297</v>
      </c>
      <c r="J193" s="5" t="s">
        <v>18</v>
      </c>
      <c r="K193" s="5" t="s">
        <v>408</v>
      </c>
      <c r="L193" s="5" t="s">
        <v>398</v>
      </c>
      <c r="M193" s="5" t="s">
        <v>105</v>
      </c>
      <c r="N193" s="5" t="s">
        <v>383</v>
      </c>
      <c r="O193" s="5">
        <v>1E-3</v>
      </c>
      <c r="P193" s="91"/>
      <c r="Q193" s="91"/>
      <c r="R193" s="287">
        <v>8.8838600000000003</v>
      </c>
      <c r="S193" s="91"/>
      <c r="T193" s="91"/>
      <c r="U193" s="91"/>
      <c r="V193" s="99">
        <f t="shared" si="5"/>
        <v>8.8840000000000003</v>
      </c>
      <c r="W193" s="34"/>
      <c r="X193" s="34"/>
      <c r="Y193" s="34"/>
      <c r="Z193" s="34"/>
      <c r="AA193" s="34"/>
      <c r="AB193" s="34"/>
      <c r="AC193" s="34"/>
      <c r="AD193" s="34"/>
      <c r="AE193" s="34"/>
      <c r="AF193" s="34"/>
      <c r="AG193" s="34"/>
      <c r="AH193" s="34"/>
      <c r="AI193" s="34" t="s">
        <v>296</v>
      </c>
      <c r="AJ193" s="34"/>
      <c r="AK193" s="34"/>
      <c r="AL193" s="34"/>
      <c r="AM193" s="34"/>
      <c r="AN193" s="34"/>
      <c r="AO193" s="34"/>
      <c r="AP193" s="34"/>
      <c r="AQ193" s="34"/>
      <c r="AR193" s="34"/>
      <c r="AS193" s="34"/>
      <c r="AT193" s="34"/>
      <c r="AU193" s="34"/>
      <c r="AV193" s="34"/>
      <c r="AW193" s="34"/>
      <c r="AX193" s="34"/>
      <c r="AY193" s="34"/>
      <c r="AZ193" s="34"/>
      <c r="BA193" s="5"/>
    </row>
    <row r="194" spans="1:53" ht="39.5" thickBot="1" x14ac:dyDescent="0.4">
      <c r="A194" s="24" t="s">
        <v>297</v>
      </c>
      <c r="B194" s="24" t="s">
        <v>297</v>
      </c>
      <c r="C194" s="24" t="s">
        <v>297</v>
      </c>
      <c r="D194" s="24" t="s">
        <v>297</v>
      </c>
      <c r="E194" s="24" t="s">
        <v>296</v>
      </c>
      <c r="F194" s="24" t="s">
        <v>297</v>
      </c>
      <c r="G194" s="24" t="s">
        <v>297</v>
      </c>
      <c r="H194" s="24" t="s">
        <v>297</v>
      </c>
      <c r="I194" s="24" t="s">
        <v>297</v>
      </c>
      <c r="J194" s="5" t="s">
        <v>684</v>
      </c>
      <c r="K194" s="5" t="s">
        <v>408</v>
      </c>
      <c r="L194" s="5" t="s">
        <v>393</v>
      </c>
      <c r="M194" s="5" t="s">
        <v>105</v>
      </c>
      <c r="N194" s="5" t="s">
        <v>383</v>
      </c>
      <c r="O194" s="5">
        <v>1E-3</v>
      </c>
      <c r="P194" s="91"/>
      <c r="Q194" s="91"/>
      <c r="R194" s="287">
        <v>0</v>
      </c>
      <c r="S194" s="91"/>
      <c r="T194" s="91"/>
      <c r="U194" s="91"/>
      <c r="V194" s="99">
        <f t="shared" si="5"/>
        <v>0</v>
      </c>
      <c r="W194" s="34"/>
      <c r="X194" s="34"/>
      <c r="Y194" s="34"/>
      <c r="Z194" s="34"/>
      <c r="AA194" s="34"/>
      <c r="AB194" s="34"/>
      <c r="AC194" s="34"/>
      <c r="AD194" s="34"/>
      <c r="AE194" s="34"/>
      <c r="AF194" s="34"/>
      <c r="AG194" s="34"/>
      <c r="AH194" s="34"/>
      <c r="AI194" s="34" t="s">
        <v>296</v>
      </c>
      <c r="AJ194" s="34"/>
      <c r="AK194" s="34"/>
      <c r="AL194" s="34"/>
      <c r="AM194" s="34"/>
      <c r="AN194" s="34"/>
      <c r="AO194" s="34"/>
      <c r="AP194" s="34"/>
      <c r="AQ194" s="34"/>
      <c r="AR194" s="34" t="s">
        <v>296</v>
      </c>
      <c r="AS194" s="34"/>
      <c r="AT194" s="34"/>
      <c r="AU194" s="34"/>
      <c r="AV194" s="34"/>
      <c r="AW194" s="34"/>
      <c r="AX194" s="34"/>
      <c r="AY194" s="34"/>
      <c r="AZ194" s="34"/>
      <c r="BA194" s="5" t="s">
        <v>1047</v>
      </c>
    </row>
    <row r="195" spans="1:53" ht="39.5" thickBot="1" x14ac:dyDescent="0.4">
      <c r="A195" s="24" t="s">
        <v>297</v>
      </c>
      <c r="B195" s="24" t="s">
        <v>297</v>
      </c>
      <c r="C195" s="24" t="s">
        <v>297</v>
      </c>
      <c r="D195" s="24" t="s">
        <v>297</v>
      </c>
      <c r="E195" s="24" t="s">
        <v>296</v>
      </c>
      <c r="F195" s="24" t="s">
        <v>297</v>
      </c>
      <c r="G195" s="24" t="s">
        <v>297</v>
      </c>
      <c r="H195" s="24" t="s">
        <v>297</v>
      </c>
      <c r="I195" s="24" t="s">
        <v>297</v>
      </c>
      <c r="J195" s="5" t="s">
        <v>684</v>
      </c>
      <c r="K195" s="5" t="s">
        <v>408</v>
      </c>
      <c r="L195" s="5" t="s">
        <v>397</v>
      </c>
      <c r="M195" s="5" t="s">
        <v>105</v>
      </c>
      <c r="N195" s="5" t="s">
        <v>383</v>
      </c>
      <c r="O195" s="5">
        <v>1E-3</v>
      </c>
      <c r="P195" s="91"/>
      <c r="Q195" s="91"/>
      <c r="R195" s="287">
        <v>0</v>
      </c>
      <c r="S195" s="91"/>
      <c r="T195" s="91"/>
      <c r="U195" s="91"/>
      <c r="V195" s="99">
        <f t="shared" si="5"/>
        <v>0</v>
      </c>
      <c r="W195" s="34"/>
      <c r="X195" s="34"/>
      <c r="Y195" s="34"/>
      <c r="Z195" s="34"/>
      <c r="AA195" s="34"/>
      <c r="AB195" s="34"/>
      <c r="AC195" s="34"/>
      <c r="AD195" s="34"/>
      <c r="AE195" s="34"/>
      <c r="AF195" s="34"/>
      <c r="AG195" s="34"/>
      <c r="AH195" s="34"/>
      <c r="AI195" s="34" t="s">
        <v>296</v>
      </c>
      <c r="AJ195" s="34"/>
      <c r="AK195" s="34"/>
      <c r="AL195" s="34"/>
      <c r="AM195" s="34"/>
      <c r="AN195" s="34"/>
      <c r="AO195" s="34"/>
      <c r="AP195" s="34"/>
      <c r="AQ195" s="34"/>
      <c r="AR195" s="34" t="s">
        <v>296</v>
      </c>
      <c r="AS195" s="34"/>
      <c r="AT195" s="34"/>
      <c r="AU195" s="34"/>
      <c r="AV195" s="34"/>
      <c r="AW195" s="34"/>
      <c r="AX195" s="34"/>
      <c r="AY195" s="34"/>
      <c r="AZ195" s="34"/>
      <c r="BA195" s="5" t="s">
        <v>1047</v>
      </c>
    </row>
    <row r="196" spans="1:53" ht="78.5" thickBot="1" x14ac:dyDescent="0.4">
      <c r="A196" s="24" t="s">
        <v>297</v>
      </c>
      <c r="B196" s="24" t="s">
        <v>297</v>
      </c>
      <c r="C196" s="24" t="s">
        <v>297</v>
      </c>
      <c r="D196" s="24" t="s">
        <v>297</v>
      </c>
      <c r="E196" s="24" t="s">
        <v>296</v>
      </c>
      <c r="F196" s="24" t="s">
        <v>297</v>
      </c>
      <c r="G196" s="24" t="s">
        <v>297</v>
      </c>
      <c r="H196" s="24" t="s">
        <v>297</v>
      </c>
      <c r="I196" s="24" t="s">
        <v>297</v>
      </c>
      <c r="J196" s="5" t="s">
        <v>684</v>
      </c>
      <c r="K196" s="5" t="s">
        <v>408</v>
      </c>
      <c r="L196" s="5" t="s">
        <v>104</v>
      </c>
      <c r="M196" s="5" t="s">
        <v>105</v>
      </c>
      <c r="N196" s="5" t="s">
        <v>383</v>
      </c>
      <c r="O196" s="5">
        <v>1E-3</v>
      </c>
      <c r="P196" s="91"/>
      <c r="Q196" s="91"/>
      <c r="R196" s="287">
        <f>R192-(25*2*P145)</f>
        <v>636.56781999999998</v>
      </c>
      <c r="S196" s="91"/>
      <c r="T196" s="91"/>
      <c r="U196" s="91"/>
      <c r="V196" s="99">
        <f t="shared" si="5"/>
        <v>636.56799999999998</v>
      </c>
      <c r="W196" s="34"/>
      <c r="X196" s="34"/>
      <c r="Y196" s="34"/>
      <c r="Z196" s="34"/>
      <c r="AA196" s="34"/>
      <c r="AB196" s="34"/>
      <c r="AC196" s="34"/>
      <c r="AD196" s="34"/>
      <c r="AE196" s="34"/>
      <c r="AF196" s="34"/>
      <c r="AG196" s="34"/>
      <c r="AH196" s="34"/>
      <c r="AI196" s="34" t="s">
        <v>296</v>
      </c>
      <c r="AJ196" s="34"/>
      <c r="AK196" s="34"/>
      <c r="AL196" s="34"/>
      <c r="AM196" s="34"/>
      <c r="AN196" s="34"/>
      <c r="AO196" s="34"/>
      <c r="AP196" s="34"/>
      <c r="AQ196" s="34"/>
      <c r="AR196" s="34" t="s">
        <v>296</v>
      </c>
      <c r="AS196" s="34"/>
      <c r="AT196" s="34"/>
      <c r="AU196" s="34"/>
      <c r="AV196" s="34"/>
      <c r="AW196" s="34"/>
      <c r="AX196" s="34"/>
      <c r="AY196" s="34"/>
      <c r="AZ196" s="34"/>
      <c r="BA196" s="5" t="s">
        <v>1048</v>
      </c>
    </row>
    <row r="197" spans="1:53" ht="39.5" thickBot="1" x14ac:dyDescent="0.4">
      <c r="A197" s="24" t="s">
        <v>297</v>
      </c>
      <c r="B197" s="24" t="s">
        <v>297</v>
      </c>
      <c r="C197" s="24" t="s">
        <v>297</v>
      </c>
      <c r="D197" s="24" t="s">
        <v>297</v>
      </c>
      <c r="E197" s="24" t="s">
        <v>296</v>
      </c>
      <c r="F197" s="24" t="s">
        <v>297</v>
      </c>
      <c r="G197" s="24" t="s">
        <v>297</v>
      </c>
      <c r="H197" s="24" t="s">
        <v>297</v>
      </c>
      <c r="I197" s="24" t="s">
        <v>297</v>
      </c>
      <c r="J197" s="5" t="s">
        <v>684</v>
      </c>
      <c r="K197" s="5" t="s">
        <v>408</v>
      </c>
      <c r="L197" s="5" t="s">
        <v>398</v>
      </c>
      <c r="M197" s="5" t="s">
        <v>105</v>
      </c>
      <c r="N197" s="5" t="s">
        <v>383</v>
      </c>
      <c r="O197" s="5">
        <v>1E-3</v>
      </c>
      <c r="P197" s="91"/>
      <c r="Q197" s="91"/>
      <c r="R197" s="287">
        <v>0</v>
      </c>
      <c r="S197" s="91"/>
      <c r="T197" s="91"/>
      <c r="U197" s="91"/>
      <c r="V197" s="99">
        <f t="shared" si="5"/>
        <v>0</v>
      </c>
      <c r="W197" s="34"/>
      <c r="X197" s="34"/>
      <c r="Y197" s="34"/>
      <c r="Z197" s="34"/>
      <c r="AA197" s="34"/>
      <c r="AB197" s="34"/>
      <c r="AC197" s="34"/>
      <c r="AD197" s="34"/>
      <c r="AE197" s="34"/>
      <c r="AF197" s="34"/>
      <c r="AG197" s="34"/>
      <c r="AH197" s="34"/>
      <c r="AI197" s="34" t="s">
        <v>296</v>
      </c>
      <c r="AJ197" s="34"/>
      <c r="AK197" s="34"/>
      <c r="AL197" s="34"/>
      <c r="AM197" s="34"/>
      <c r="AN197" s="34"/>
      <c r="AO197" s="34"/>
      <c r="AP197" s="34"/>
      <c r="AQ197" s="34"/>
      <c r="AR197" s="34" t="s">
        <v>296</v>
      </c>
      <c r="AS197" s="34"/>
      <c r="AT197" s="34"/>
      <c r="AU197" s="34"/>
      <c r="AV197" s="34"/>
      <c r="AW197" s="34"/>
      <c r="AX197" s="34"/>
      <c r="AY197" s="34"/>
      <c r="AZ197" s="34"/>
      <c r="BA197" s="5" t="s">
        <v>1047</v>
      </c>
    </row>
    <row r="198" spans="1:53" ht="15" thickBot="1" x14ac:dyDescent="0.4">
      <c r="A198" s="24" t="s">
        <v>297</v>
      </c>
      <c r="B198" s="24" t="s">
        <v>297</v>
      </c>
      <c r="C198" s="24" t="s">
        <v>297</v>
      </c>
      <c r="D198" s="24" t="s">
        <v>297</v>
      </c>
      <c r="E198" s="24" t="s">
        <v>296</v>
      </c>
      <c r="F198" s="24" t="s">
        <v>297</v>
      </c>
      <c r="G198" s="24" t="s">
        <v>297</v>
      </c>
      <c r="H198" s="24" t="s">
        <v>297</v>
      </c>
      <c r="I198" s="24" t="s">
        <v>297</v>
      </c>
      <c r="J198" s="5" t="s">
        <v>18</v>
      </c>
      <c r="K198" s="5" t="s">
        <v>409</v>
      </c>
      <c r="L198" s="5" t="s">
        <v>393</v>
      </c>
      <c r="M198" s="5" t="s">
        <v>105</v>
      </c>
      <c r="N198" s="5" t="s">
        <v>383</v>
      </c>
      <c r="O198" s="5">
        <v>1E-3</v>
      </c>
      <c r="P198" s="91"/>
      <c r="Q198" s="192"/>
      <c r="R198" s="287">
        <v>6.4106100000000001</v>
      </c>
      <c r="S198" s="91"/>
      <c r="T198" s="91"/>
      <c r="U198" s="91"/>
      <c r="V198" s="99">
        <f t="shared" si="5"/>
        <v>6.4109999999999996</v>
      </c>
      <c r="W198" s="34"/>
      <c r="X198" s="34"/>
      <c r="Y198" s="34"/>
      <c r="Z198" s="34"/>
      <c r="AA198" s="34"/>
      <c r="AB198" s="34"/>
      <c r="AC198" s="34"/>
      <c r="AD198" s="34"/>
      <c r="AE198" s="34"/>
      <c r="AF198" s="34"/>
      <c r="AG198" s="34"/>
      <c r="AH198" s="34"/>
      <c r="AI198" s="34" t="s">
        <v>296</v>
      </c>
      <c r="AJ198" s="34"/>
      <c r="AK198" s="34"/>
      <c r="AL198" s="34"/>
      <c r="AM198" s="34"/>
      <c r="AN198" s="34"/>
      <c r="AO198" s="34"/>
      <c r="AP198" s="34"/>
      <c r="AQ198" s="34"/>
      <c r="AR198" s="34"/>
      <c r="AS198" s="34"/>
      <c r="AT198" s="34"/>
      <c r="AU198" s="34"/>
      <c r="AV198" s="34"/>
      <c r="AW198" s="34"/>
      <c r="AX198" s="34"/>
      <c r="AY198" s="34"/>
      <c r="AZ198" s="34"/>
      <c r="BA198" s="5"/>
    </row>
    <row r="199" spans="1:53" ht="15" thickBot="1" x14ac:dyDescent="0.4">
      <c r="A199" s="24" t="s">
        <v>297</v>
      </c>
      <c r="B199" s="24" t="s">
        <v>297</v>
      </c>
      <c r="C199" s="24" t="s">
        <v>297</v>
      </c>
      <c r="D199" s="24" t="s">
        <v>297</v>
      </c>
      <c r="E199" s="24" t="s">
        <v>296</v>
      </c>
      <c r="F199" s="24" t="s">
        <v>297</v>
      </c>
      <c r="G199" s="24" t="s">
        <v>297</v>
      </c>
      <c r="H199" s="24" t="s">
        <v>297</v>
      </c>
      <c r="I199" s="24" t="s">
        <v>297</v>
      </c>
      <c r="J199" s="5" t="s">
        <v>18</v>
      </c>
      <c r="K199" s="5" t="s">
        <v>409</v>
      </c>
      <c r="L199" s="5" t="s">
        <v>397</v>
      </c>
      <c r="M199" s="5" t="s">
        <v>105</v>
      </c>
      <c r="N199" s="5" t="s">
        <v>383</v>
      </c>
      <c r="O199" s="5">
        <v>1E-3</v>
      </c>
      <c r="P199" s="91"/>
      <c r="Q199" s="192"/>
      <c r="R199" s="287">
        <v>8.8838600000000003</v>
      </c>
      <c r="S199" s="91"/>
      <c r="T199" s="91"/>
      <c r="U199" s="91"/>
      <c r="V199" s="99">
        <f t="shared" si="5"/>
        <v>8.8840000000000003</v>
      </c>
      <c r="W199" s="34"/>
      <c r="X199" s="34"/>
      <c r="Y199" s="34"/>
      <c r="Z199" s="34"/>
      <c r="AA199" s="34"/>
      <c r="AB199" s="34"/>
      <c r="AC199" s="34"/>
      <c r="AD199" s="34"/>
      <c r="AE199" s="34"/>
      <c r="AF199" s="34"/>
      <c r="AG199" s="34"/>
      <c r="AH199" s="34"/>
      <c r="AI199" s="34" t="s">
        <v>296</v>
      </c>
      <c r="AJ199" s="34"/>
      <c r="AK199" s="34"/>
      <c r="AL199" s="34"/>
      <c r="AM199" s="34"/>
      <c r="AN199" s="34"/>
      <c r="AO199" s="34"/>
      <c r="AP199" s="34"/>
      <c r="AQ199" s="34"/>
      <c r="AR199" s="34"/>
      <c r="AS199" s="34"/>
      <c r="AT199" s="34"/>
      <c r="AU199" s="34"/>
      <c r="AV199" s="34"/>
      <c r="AW199" s="34"/>
      <c r="AX199" s="34"/>
      <c r="AY199" s="34"/>
      <c r="AZ199" s="34"/>
      <c r="BA199" s="5"/>
    </row>
    <row r="200" spans="1:53" ht="15" thickBot="1" x14ac:dyDescent="0.4">
      <c r="A200" s="24" t="s">
        <v>297</v>
      </c>
      <c r="B200" s="24" t="s">
        <v>297</v>
      </c>
      <c r="C200" s="24" t="s">
        <v>297</v>
      </c>
      <c r="D200" s="24" t="s">
        <v>297</v>
      </c>
      <c r="E200" s="24" t="s">
        <v>296</v>
      </c>
      <c r="F200" s="24" t="s">
        <v>297</v>
      </c>
      <c r="G200" s="24" t="s">
        <v>297</v>
      </c>
      <c r="H200" s="24" t="s">
        <v>297</v>
      </c>
      <c r="I200" s="24" t="s">
        <v>297</v>
      </c>
      <c r="J200" s="5" t="s">
        <v>18</v>
      </c>
      <c r="K200" s="5" t="s">
        <v>409</v>
      </c>
      <c r="L200" s="5" t="s">
        <v>104</v>
      </c>
      <c r="M200" s="5" t="s">
        <v>105</v>
      </c>
      <c r="N200" s="5" t="s">
        <v>383</v>
      </c>
      <c r="O200" s="5">
        <v>1E-3</v>
      </c>
      <c r="P200" s="91"/>
      <c r="Q200" s="192"/>
      <c r="R200" s="287">
        <v>655.98689999999999</v>
      </c>
      <c r="S200" s="91"/>
      <c r="T200" s="91"/>
      <c r="U200" s="91"/>
      <c r="V200" s="99">
        <f t="shared" si="5"/>
        <v>655.98699999999997</v>
      </c>
      <c r="W200" s="34"/>
      <c r="X200" s="34"/>
      <c r="Y200" s="34"/>
      <c r="Z200" s="34"/>
      <c r="AA200" s="34"/>
      <c r="AB200" s="34"/>
      <c r="AC200" s="34"/>
      <c r="AD200" s="34"/>
      <c r="AE200" s="34"/>
      <c r="AF200" s="34"/>
      <c r="AG200" s="34"/>
      <c r="AH200" s="34"/>
      <c r="AI200" s="34" t="s">
        <v>296</v>
      </c>
      <c r="AJ200" s="34"/>
      <c r="AK200" s="34"/>
      <c r="AL200" s="34"/>
      <c r="AM200" s="34"/>
      <c r="AN200" s="34"/>
      <c r="AO200" s="34"/>
      <c r="AP200" s="34"/>
      <c r="AQ200" s="34"/>
      <c r="AR200" s="34"/>
      <c r="AS200" s="34"/>
      <c r="AT200" s="34"/>
      <c r="AU200" s="34"/>
      <c r="AV200" s="34"/>
      <c r="AW200" s="34"/>
      <c r="AX200" s="34"/>
      <c r="AY200" s="34"/>
      <c r="AZ200" s="34"/>
      <c r="BA200" s="5"/>
    </row>
    <row r="201" spans="1:53" ht="26.5" thickBot="1" x14ac:dyDescent="0.4">
      <c r="A201" s="24" t="s">
        <v>297</v>
      </c>
      <c r="B201" s="24" t="s">
        <v>297</v>
      </c>
      <c r="C201" s="24" t="s">
        <v>297</v>
      </c>
      <c r="D201" s="24" t="s">
        <v>297</v>
      </c>
      <c r="E201" s="24" t="s">
        <v>296</v>
      </c>
      <c r="F201" s="24" t="s">
        <v>297</v>
      </c>
      <c r="G201" s="24" t="s">
        <v>297</v>
      </c>
      <c r="H201" s="24" t="s">
        <v>297</v>
      </c>
      <c r="I201" s="24" t="s">
        <v>297</v>
      </c>
      <c r="J201" s="5" t="s">
        <v>18</v>
      </c>
      <c r="K201" s="5" t="s">
        <v>409</v>
      </c>
      <c r="L201" s="5" t="s">
        <v>398</v>
      </c>
      <c r="M201" s="5" t="s">
        <v>105</v>
      </c>
      <c r="N201" s="5" t="s">
        <v>383</v>
      </c>
      <c r="O201" s="5">
        <v>1E-3</v>
      </c>
      <c r="P201" s="91"/>
      <c r="Q201" s="192"/>
      <c r="R201" s="287">
        <v>8.8838600000000003</v>
      </c>
      <c r="S201" s="91"/>
      <c r="T201" s="91"/>
      <c r="U201" s="91"/>
      <c r="V201" s="99">
        <f t="shared" si="5"/>
        <v>8.8840000000000003</v>
      </c>
      <c r="W201" s="34"/>
      <c r="X201" s="34"/>
      <c r="Y201" s="34"/>
      <c r="Z201" s="34"/>
      <c r="AA201" s="34"/>
      <c r="AB201" s="34"/>
      <c r="AC201" s="34"/>
      <c r="AD201" s="34"/>
      <c r="AE201" s="34"/>
      <c r="AF201" s="34"/>
      <c r="AG201" s="34"/>
      <c r="AH201" s="34"/>
      <c r="AI201" s="34" t="s">
        <v>296</v>
      </c>
      <c r="AJ201" s="34"/>
      <c r="AK201" s="34"/>
      <c r="AL201" s="34"/>
      <c r="AM201" s="34"/>
      <c r="AN201" s="34"/>
      <c r="AO201" s="34"/>
      <c r="AP201" s="34"/>
      <c r="AQ201" s="34"/>
      <c r="AR201" s="34"/>
      <c r="AS201" s="34"/>
      <c r="AT201" s="34"/>
      <c r="AU201" s="34"/>
      <c r="AV201" s="34"/>
      <c r="AW201" s="34"/>
      <c r="AX201" s="34"/>
      <c r="AY201" s="34"/>
      <c r="AZ201" s="34"/>
      <c r="BA201" s="5"/>
    </row>
    <row r="202" spans="1:53" ht="39.5" thickBot="1" x14ac:dyDescent="0.4">
      <c r="A202" s="24" t="s">
        <v>297</v>
      </c>
      <c r="B202" s="24" t="s">
        <v>297</v>
      </c>
      <c r="C202" s="24" t="s">
        <v>297</v>
      </c>
      <c r="D202" s="24" t="s">
        <v>297</v>
      </c>
      <c r="E202" s="24" t="s">
        <v>296</v>
      </c>
      <c r="F202" s="24" t="s">
        <v>297</v>
      </c>
      <c r="G202" s="24" t="s">
        <v>297</v>
      </c>
      <c r="H202" s="24" t="s">
        <v>297</v>
      </c>
      <c r="I202" s="24" t="s">
        <v>297</v>
      </c>
      <c r="J202" s="5" t="s">
        <v>684</v>
      </c>
      <c r="K202" s="5" t="s">
        <v>409</v>
      </c>
      <c r="L202" s="5" t="s">
        <v>393</v>
      </c>
      <c r="M202" s="5" t="s">
        <v>105</v>
      </c>
      <c r="N202" s="5" t="s">
        <v>383</v>
      </c>
      <c r="O202" s="5">
        <v>1E-3</v>
      </c>
      <c r="P202" s="91"/>
      <c r="Q202" s="91"/>
      <c r="R202" s="287">
        <v>0</v>
      </c>
      <c r="S202" s="91"/>
      <c r="T202" s="91"/>
      <c r="U202" s="91"/>
      <c r="V202" s="99">
        <f t="shared" si="5"/>
        <v>0</v>
      </c>
      <c r="W202" s="34"/>
      <c r="X202" s="34"/>
      <c r="Y202" s="34"/>
      <c r="Z202" s="34"/>
      <c r="AA202" s="34"/>
      <c r="AB202" s="34"/>
      <c r="AC202" s="34"/>
      <c r="AD202" s="34"/>
      <c r="AE202" s="34"/>
      <c r="AF202" s="34"/>
      <c r="AG202" s="34"/>
      <c r="AH202" s="34"/>
      <c r="AI202" s="34" t="s">
        <v>296</v>
      </c>
      <c r="AJ202" s="34"/>
      <c r="AK202" s="34"/>
      <c r="AL202" s="34"/>
      <c r="AM202" s="34"/>
      <c r="AN202" s="34"/>
      <c r="AO202" s="34"/>
      <c r="AP202" s="34"/>
      <c r="AQ202" s="34"/>
      <c r="AR202" s="34" t="s">
        <v>296</v>
      </c>
      <c r="AS202" s="34"/>
      <c r="AT202" s="34"/>
      <c r="AU202" s="34"/>
      <c r="AV202" s="34"/>
      <c r="AW202" s="34"/>
      <c r="AX202" s="34"/>
      <c r="AY202" s="34"/>
      <c r="AZ202" s="34"/>
      <c r="BA202" s="5" t="s">
        <v>1047</v>
      </c>
    </row>
    <row r="203" spans="1:53" ht="39.5" thickBot="1" x14ac:dyDescent="0.4">
      <c r="A203" s="24" t="s">
        <v>297</v>
      </c>
      <c r="B203" s="24" t="s">
        <v>297</v>
      </c>
      <c r="C203" s="24" t="s">
        <v>297</v>
      </c>
      <c r="D203" s="24" t="s">
        <v>297</v>
      </c>
      <c r="E203" s="24" t="s">
        <v>296</v>
      </c>
      <c r="F203" s="24" t="s">
        <v>297</v>
      </c>
      <c r="G203" s="24" t="s">
        <v>297</v>
      </c>
      <c r="H203" s="24" t="s">
        <v>297</v>
      </c>
      <c r="I203" s="24" t="s">
        <v>297</v>
      </c>
      <c r="J203" s="5" t="s">
        <v>684</v>
      </c>
      <c r="K203" s="5" t="s">
        <v>409</v>
      </c>
      <c r="L203" s="5" t="s">
        <v>397</v>
      </c>
      <c r="M203" s="5" t="s">
        <v>105</v>
      </c>
      <c r="N203" s="5" t="s">
        <v>383</v>
      </c>
      <c r="O203" s="5">
        <v>1E-3</v>
      </c>
      <c r="P203" s="191"/>
      <c r="Q203" s="91"/>
      <c r="R203" s="287">
        <v>0</v>
      </c>
      <c r="S203" s="91"/>
      <c r="T203" s="91"/>
      <c r="U203" s="91"/>
      <c r="V203" s="99">
        <f t="shared" si="5"/>
        <v>0</v>
      </c>
      <c r="W203" s="34"/>
      <c r="X203" s="34"/>
      <c r="Y203" s="34"/>
      <c r="Z203" s="34"/>
      <c r="AA203" s="34"/>
      <c r="AB203" s="34"/>
      <c r="AC203" s="34"/>
      <c r="AD203" s="34"/>
      <c r="AE203" s="34"/>
      <c r="AF203" s="34"/>
      <c r="AG203" s="34"/>
      <c r="AH203" s="34"/>
      <c r="AI203" s="34" t="s">
        <v>296</v>
      </c>
      <c r="AJ203" s="34"/>
      <c r="AK203" s="34"/>
      <c r="AL203" s="34"/>
      <c r="AM203" s="34"/>
      <c r="AN203" s="34"/>
      <c r="AO203" s="34"/>
      <c r="AP203" s="34"/>
      <c r="AQ203" s="34"/>
      <c r="AR203" s="34" t="s">
        <v>296</v>
      </c>
      <c r="AS203" s="34"/>
      <c r="AT203" s="34"/>
      <c r="AU203" s="34"/>
      <c r="AV203" s="34"/>
      <c r="AW203" s="34"/>
      <c r="AX203" s="34"/>
      <c r="AY203" s="34"/>
      <c r="AZ203" s="34"/>
      <c r="BA203" s="5" t="s">
        <v>1047</v>
      </c>
    </row>
    <row r="204" spans="1:53" ht="78.5" thickBot="1" x14ac:dyDescent="0.4">
      <c r="A204" s="24" t="s">
        <v>297</v>
      </c>
      <c r="B204" s="24" t="s">
        <v>297</v>
      </c>
      <c r="C204" s="24" t="s">
        <v>297</v>
      </c>
      <c r="D204" s="24" t="s">
        <v>297</v>
      </c>
      <c r="E204" s="24" t="s">
        <v>296</v>
      </c>
      <c r="F204" s="24" t="s">
        <v>297</v>
      </c>
      <c r="G204" s="24" t="s">
        <v>297</v>
      </c>
      <c r="H204" s="24" t="s">
        <v>297</v>
      </c>
      <c r="I204" s="24" t="s">
        <v>297</v>
      </c>
      <c r="J204" s="5" t="s">
        <v>684</v>
      </c>
      <c r="K204" s="5" t="s">
        <v>409</v>
      </c>
      <c r="L204" s="5" t="s">
        <v>104</v>
      </c>
      <c r="M204" s="5" t="s">
        <v>105</v>
      </c>
      <c r="N204" s="5" t="s">
        <v>383</v>
      </c>
      <c r="O204" s="5">
        <v>1E-3</v>
      </c>
      <c r="P204" s="91"/>
      <c r="Q204" s="91"/>
      <c r="R204" s="287">
        <f>R200-(25*2*P145)</f>
        <v>645.94839999999999</v>
      </c>
      <c r="S204" s="91"/>
      <c r="T204" s="91"/>
      <c r="U204" s="91"/>
      <c r="V204" s="99">
        <f t="shared" si="5"/>
        <v>645.94799999999998</v>
      </c>
      <c r="W204" s="34"/>
      <c r="X204" s="34"/>
      <c r="Y204" s="34"/>
      <c r="Z204" s="34"/>
      <c r="AA204" s="34"/>
      <c r="AB204" s="34"/>
      <c r="AC204" s="34"/>
      <c r="AD204" s="34"/>
      <c r="AE204" s="34"/>
      <c r="AF204" s="34"/>
      <c r="AG204" s="34"/>
      <c r="AH204" s="34"/>
      <c r="AI204" s="34" t="s">
        <v>296</v>
      </c>
      <c r="AJ204" s="34"/>
      <c r="AK204" s="34"/>
      <c r="AL204" s="34"/>
      <c r="AM204" s="34"/>
      <c r="AN204" s="34"/>
      <c r="AO204" s="34"/>
      <c r="AP204" s="34"/>
      <c r="AQ204" s="34"/>
      <c r="AR204" s="34" t="s">
        <v>296</v>
      </c>
      <c r="AS204" s="34"/>
      <c r="AT204" s="34"/>
      <c r="AU204" s="34"/>
      <c r="AV204" s="34"/>
      <c r="AW204" s="34"/>
      <c r="AX204" s="34"/>
      <c r="AY204" s="34"/>
      <c r="AZ204" s="34"/>
      <c r="BA204" s="5" t="s">
        <v>1048</v>
      </c>
    </row>
    <row r="205" spans="1:53" ht="39.5" thickBot="1" x14ac:dyDescent="0.4">
      <c r="A205" s="24" t="s">
        <v>297</v>
      </c>
      <c r="B205" s="24" t="s">
        <v>297</v>
      </c>
      <c r="C205" s="24" t="s">
        <v>297</v>
      </c>
      <c r="D205" s="24" t="s">
        <v>297</v>
      </c>
      <c r="E205" s="24" t="s">
        <v>296</v>
      </c>
      <c r="F205" s="24" t="s">
        <v>297</v>
      </c>
      <c r="G205" s="24" t="s">
        <v>297</v>
      </c>
      <c r="H205" s="24" t="s">
        <v>297</v>
      </c>
      <c r="I205" s="24" t="s">
        <v>297</v>
      </c>
      <c r="J205" s="5" t="s">
        <v>684</v>
      </c>
      <c r="K205" s="5" t="s">
        <v>409</v>
      </c>
      <c r="L205" s="5" t="s">
        <v>398</v>
      </c>
      <c r="M205" s="5" t="s">
        <v>105</v>
      </c>
      <c r="N205" s="5" t="s">
        <v>383</v>
      </c>
      <c r="O205" s="5">
        <v>1E-3</v>
      </c>
      <c r="P205" s="91"/>
      <c r="Q205" s="91"/>
      <c r="R205" s="287">
        <v>0</v>
      </c>
      <c r="S205" s="91"/>
      <c r="T205" s="91"/>
      <c r="U205" s="91"/>
      <c r="V205" s="99">
        <f t="shared" si="5"/>
        <v>0</v>
      </c>
      <c r="W205" s="34"/>
      <c r="X205" s="34"/>
      <c r="Y205" s="34"/>
      <c r="Z205" s="34"/>
      <c r="AA205" s="34"/>
      <c r="AB205" s="34"/>
      <c r="AC205" s="34"/>
      <c r="AD205" s="34"/>
      <c r="AE205" s="34"/>
      <c r="AF205" s="34"/>
      <c r="AG205" s="34"/>
      <c r="AH205" s="34"/>
      <c r="AI205" s="34" t="s">
        <v>296</v>
      </c>
      <c r="AJ205" s="34"/>
      <c r="AK205" s="34"/>
      <c r="AL205" s="34"/>
      <c r="AM205" s="34"/>
      <c r="AN205" s="34"/>
      <c r="AO205" s="34"/>
      <c r="AP205" s="34"/>
      <c r="AQ205" s="34"/>
      <c r="AR205" s="34" t="s">
        <v>296</v>
      </c>
      <c r="AS205" s="34"/>
      <c r="AT205" s="34"/>
      <c r="AU205" s="34"/>
      <c r="AV205" s="34"/>
      <c r="AW205" s="34"/>
      <c r="AX205" s="34"/>
      <c r="AY205" s="34"/>
      <c r="AZ205" s="34"/>
      <c r="BA205" s="5" t="s">
        <v>1047</v>
      </c>
    </row>
    <row r="206" spans="1:53" ht="26.5" thickBot="1" x14ac:dyDescent="0.4">
      <c r="A206" s="24" t="s">
        <v>297</v>
      </c>
      <c r="B206" s="24" t="s">
        <v>297</v>
      </c>
      <c r="C206" s="24" t="s">
        <v>297</v>
      </c>
      <c r="D206" s="24" t="s">
        <v>297</v>
      </c>
      <c r="E206" s="24" t="s">
        <v>296</v>
      </c>
      <c r="F206" s="24" t="s">
        <v>297</v>
      </c>
      <c r="G206" s="24" t="s">
        <v>297</v>
      </c>
      <c r="H206" s="24" t="s">
        <v>297</v>
      </c>
      <c r="I206" s="24" t="s">
        <v>297</v>
      </c>
      <c r="J206" s="5" t="s">
        <v>18</v>
      </c>
      <c r="K206" s="5" t="s">
        <v>410</v>
      </c>
      <c r="L206" s="5" t="s">
        <v>393</v>
      </c>
      <c r="M206" s="5" t="s">
        <v>105</v>
      </c>
      <c r="N206" s="5" t="s">
        <v>383</v>
      </c>
      <c r="O206" s="5">
        <v>1E-3</v>
      </c>
      <c r="P206" s="91"/>
      <c r="Q206" s="91"/>
      <c r="R206" s="200">
        <v>82</v>
      </c>
      <c r="S206" s="91"/>
      <c r="T206" s="91"/>
      <c r="U206" s="91"/>
      <c r="V206" s="99">
        <f t="shared" si="5"/>
        <v>82</v>
      </c>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t="s">
        <v>296</v>
      </c>
      <c r="AW206" s="34"/>
      <c r="AX206" s="34"/>
      <c r="AY206" s="34"/>
      <c r="AZ206" s="34"/>
      <c r="BA206" s="5"/>
    </row>
    <row r="207" spans="1:53" ht="39.5" thickBot="1" x14ac:dyDescent="0.4">
      <c r="A207" s="24" t="s">
        <v>297</v>
      </c>
      <c r="B207" s="24" t="s">
        <v>297</v>
      </c>
      <c r="C207" s="24" t="s">
        <v>297</v>
      </c>
      <c r="D207" s="24" t="s">
        <v>297</v>
      </c>
      <c r="E207" s="24" t="s">
        <v>296</v>
      </c>
      <c r="F207" s="24" t="s">
        <v>297</v>
      </c>
      <c r="G207" s="24" t="s">
        <v>297</v>
      </c>
      <c r="H207" s="24" t="s">
        <v>297</v>
      </c>
      <c r="I207" s="24" t="s">
        <v>297</v>
      </c>
      <c r="J207" s="5" t="s">
        <v>684</v>
      </c>
      <c r="K207" s="5" t="s">
        <v>410</v>
      </c>
      <c r="L207" s="5" t="s">
        <v>393</v>
      </c>
      <c r="M207" s="5" t="s">
        <v>105</v>
      </c>
      <c r="N207" s="5" t="s">
        <v>383</v>
      </c>
      <c r="O207" s="5">
        <v>1E-3</v>
      </c>
      <c r="P207" s="91"/>
      <c r="Q207" s="91"/>
      <c r="R207" s="200">
        <v>0</v>
      </c>
      <c r="S207" s="91"/>
      <c r="T207" s="91"/>
      <c r="U207" s="91"/>
      <c r="V207" s="99">
        <f t="shared" si="5"/>
        <v>0</v>
      </c>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t="s">
        <v>296</v>
      </c>
      <c r="AS207" s="34"/>
      <c r="AT207" s="34"/>
      <c r="AU207" s="34"/>
      <c r="AV207" s="34" t="s">
        <v>296</v>
      </c>
      <c r="AW207" s="34"/>
      <c r="AX207" s="34"/>
      <c r="AY207" s="34"/>
      <c r="AZ207" s="34"/>
      <c r="BA207" s="5" t="s">
        <v>1047</v>
      </c>
    </row>
    <row r="208" spans="1:53" ht="39.5" thickBot="1" x14ac:dyDescent="0.4">
      <c r="A208" s="24" t="s">
        <v>297</v>
      </c>
      <c r="B208" s="24" t="s">
        <v>297</v>
      </c>
      <c r="C208" s="24" t="s">
        <v>297</v>
      </c>
      <c r="D208" s="24" t="s">
        <v>297</v>
      </c>
      <c r="E208" s="24" t="s">
        <v>296</v>
      </c>
      <c r="F208" s="24" t="s">
        <v>297</v>
      </c>
      <c r="G208" s="24" t="s">
        <v>297</v>
      </c>
      <c r="H208" s="24" t="s">
        <v>297</v>
      </c>
      <c r="I208" s="24" t="s">
        <v>297</v>
      </c>
      <c r="J208" s="5" t="s">
        <v>18</v>
      </c>
      <c r="K208" s="5" t="s">
        <v>411</v>
      </c>
      <c r="L208" s="5" t="s">
        <v>412</v>
      </c>
      <c r="M208" s="5" t="s">
        <v>105</v>
      </c>
      <c r="N208" s="5" t="s">
        <v>383</v>
      </c>
      <c r="O208" s="5">
        <v>1E-3</v>
      </c>
      <c r="P208" s="91"/>
      <c r="Q208" s="91"/>
      <c r="R208" s="200">
        <v>402</v>
      </c>
      <c r="S208" s="91"/>
      <c r="T208" s="91"/>
      <c r="U208" s="91"/>
      <c r="V208" s="99">
        <f t="shared" si="5"/>
        <v>402</v>
      </c>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t="s">
        <v>296</v>
      </c>
      <c r="AW208" s="34" t="s">
        <v>296</v>
      </c>
      <c r="AX208" s="34"/>
      <c r="AY208" s="34"/>
      <c r="AZ208" s="34"/>
      <c r="BA208" s="5"/>
    </row>
    <row r="209" spans="1:53" ht="39.5" thickBot="1" x14ac:dyDescent="0.4">
      <c r="A209" s="24" t="s">
        <v>297</v>
      </c>
      <c r="B209" s="24" t="s">
        <v>297</v>
      </c>
      <c r="C209" s="24" t="s">
        <v>297</v>
      </c>
      <c r="D209" s="24" t="s">
        <v>297</v>
      </c>
      <c r="E209" s="24" t="s">
        <v>296</v>
      </c>
      <c r="F209" s="24" t="s">
        <v>297</v>
      </c>
      <c r="G209" s="24" t="s">
        <v>297</v>
      </c>
      <c r="H209" s="24" t="s">
        <v>297</v>
      </c>
      <c r="I209" s="24" t="s">
        <v>297</v>
      </c>
      <c r="J209" s="5" t="s">
        <v>18</v>
      </c>
      <c r="K209" s="5" t="s">
        <v>413</v>
      </c>
      <c r="L209" s="5" t="s">
        <v>414</v>
      </c>
      <c r="M209" s="5" t="s">
        <v>105</v>
      </c>
      <c r="N209" s="5" t="s">
        <v>383</v>
      </c>
      <c r="O209" s="5">
        <v>1E-3</v>
      </c>
      <c r="P209" s="91"/>
      <c r="Q209" s="91"/>
      <c r="R209" s="200">
        <v>1074</v>
      </c>
      <c r="S209" s="91"/>
      <c r="T209" s="91"/>
      <c r="U209" s="91"/>
      <c r="V209" s="99">
        <f t="shared" si="5"/>
        <v>1074</v>
      </c>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t="s">
        <v>296</v>
      </c>
      <c r="AW209" s="34" t="s">
        <v>296</v>
      </c>
      <c r="AX209" s="34" t="s">
        <v>296</v>
      </c>
      <c r="AY209" s="34"/>
      <c r="AZ209" s="34"/>
      <c r="BA209" s="5"/>
    </row>
    <row r="210" spans="1:53" ht="39.5" thickBot="1" x14ac:dyDescent="0.4">
      <c r="A210" s="24" t="s">
        <v>297</v>
      </c>
      <c r="B210" s="24" t="s">
        <v>297</v>
      </c>
      <c r="C210" s="24" t="s">
        <v>297</v>
      </c>
      <c r="D210" s="24" t="s">
        <v>297</v>
      </c>
      <c r="E210" s="24" t="s">
        <v>296</v>
      </c>
      <c r="F210" s="24" t="s">
        <v>297</v>
      </c>
      <c r="G210" s="24" t="s">
        <v>297</v>
      </c>
      <c r="H210" s="24" t="s">
        <v>297</v>
      </c>
      <c r="I210" s="24" t="s">
        <v>297</v>
      </c>
      <c r="J210" s="5" t="s">
        <v>18</v>
      </c>
      <c r="K210" s="5" t="s">
        <v>415</v>
      </c>
      <c r="L210" s="5" t="s">
        <v>414</v>
      </c>
      <c r="M210" s="5" t="s">
        <v>105</v>
      </c>
      <c r="N210" s="5" t="s">
        <v>383</v>
      </c>
      <c r="O210" s="5">
        <v>1E-3</v>
      </c>
      <c r="P210" s="91"/>
      <c r="Q210" s="91"/>
      <c r="R210" s="200">
        <v>1074</v>
      </c>
      <c r="S210" s="91"/>
      <c r="T210" s="91"/>
      <c r="U210" s="91"/>
      <c r="V210" s="99">
        <f t="shared" ref="V210:V273" si="6">ROUND(SUM(P210:U210),3)</f>
        <v>1074</v>
      </c>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t="s">
        <v>296</v>
      </c>
      <c r="AW210" s="34" t="s">
        <v>296</v>
      </c>
      <c r="AX210" s="34" t="s">
        <v>296</v>
      </c>
      <c r="AY210" s="34"/>
      <c r="AZ210" s="34"/>
      <c r="BA210" s="5"/>
    </row>
    <row r="211" spans="1:53" ht="39.5" thickBot="1" x14ac:dyDescent="0.4">
      <c r="A211" s="24" t="s">
        <v>297</v>
      </c>
      <c r="B211" s="24" t="s">
        <v>297</v>
      </c>
      <c r="C211" s="24" t="s">
        <v>297</v>
      </c>
      <c r="D211" s="24" t="s">
        <v>297</v>
      </c>
      <c r="E211" s="24" t="s">
        <v>296</v>
      </c>
      <c r="F211" s="24" t="s">
        <v>297</v>
      </c>
      <c r="G211" s="24" t="s">
        <v>297</v>
      </c>
      <c r="H211" s="24" t="s">
        <v>297</v>
      </c>
      <c r="I211" s="24" t="s">
        <v>297</v>
      </c>
      <c r="J211" s="5" t="s">
        <v>18</v>
      </c>
      <c r="K211" s="5" t="s">
        <v>416</v>
      </c>
      <c r="L211" s="5" t="s">
        <v>414</v>
      </c>
      <c r="M211" s="5" t="s">
        <v>105</v>
      </c>
      <c r="N211" s="5" t="s">
        <v>383</v>
      </c>
      <c r="O211" s="5">
        <v>1E-3</v>
      </c>
      <c r="P211" s="91"/>
      <c r="Q211" s="91"/>
      <c r="R211" s="200">
        <v>1074</v>
      </c>
      <c r="S211" s="91"/>
      <c r="T211" s="91"/>
      <c r="U211" s="91"/>
      <c r="V211" s="99">
        <f t="shared" si="6"/>
        <v>1074</v>
      </c>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t="s">
        <v>296</v>
      </c>
      <c r="AW211" s="34" t="s">
        <v>296</v>
      </c>
      <c r="AX211" s="34" t="s">
        <v>296</v>
      </c>
      <c r="AY211" s="34"/>
      <c r="AZ211" s="34"/>
      <c r="BA211" s="5"/>
    </row>
    <row r="212" spans="1:53" ht="39.5" thickBot="1" x14ac:dyDescent="0.4">
      <c r="A212" s="24" t="s">
        <v>297</v>
      </c>
      <c r="B212" s="24" t="s">
        <v>297</v>
      </c>
      <c r="C212" s="24" t="s">
        <v>297</v>
      </c>
      <c r="D212" s="24" t="s">
        <v>297</v>
      </c>
      <c r="E212" s="24" t="s">
        <v>296</v>
      </c>
      <c r="F212" s="24" t="s">
        <v>297</v>
      </c>
      <c r="G212" s="24" t="s">
        <v>297</v>
      </c>
      <c r="H212" s="24" t="s">
        <v>297</v>
      </c>
      <c r="I212" s="24" t="s">
        <v>297</v>
      </c>
      <c r="J212" s="19" t="s">
        <v>18</v>
      </c>
      <c r="K212" s="5" t="s">
        <v>417</v>
      </c>
      <c r="L212" s="5" t="s">
        <v>414</v>
      </c>
      <c r="M212" s="5" t="s">
        <v>105</v>
      </c>
      <c r="N212" s="5" t="s">
        <v>383</v>
      </c>
      <c r="O212" s="5">
        <v>1E-3</v>
      </c>
      <c r="P212" s="189"/>
      <c r="Q212" s="91"/>
      <c r="R212" s="200">
        <v>1074</v>
      </c>
      <c r="S212" s="91"/>
      <c r="T212" s="91"/>
      <c r="U212" s="91"/>
      <c r="V212" s="99">
        <f t="shared" si="6"/>
        <v>1074</v>
      </c>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t="s">
        <v>296</v>
      </c>
      <c r="AW212" s="34" t="s">
        <v>296</v>
      </c>
      <c r="AX212" s="34" t="s">
        <v>296</v>
      </c>
      <c r="AY212" s="34"/>
      <c r="AZ212" s="34"/>
      <c r="BA212" s="5"/>
    </row>
    <row r="213" spans="1:53" ht="15" thickBot="1" x14ac:dyDescent="0.4">
      <c r="A213" s="24" t="s">
        <v>296</v>
      </c>
      <c r="B213" s="24" t="s">
        <v>297</v>
      </c>
      <c r="C213" s="24" t="s">
        <v>297</v>
      </c>
      <c r="D213" s="24" t="s">
        <v>297</v>
      </c>
      <c r="E213" s="24" t="s">
        <v>297</v>
      </c>
      <c r="F213" s="24" t="s">
        <v>297</v>
      </c>
      <c r="G213" s="24" t="s">
        <v>297</v>
      </c>
      <c r="H213" s="24" t="s">
        <v>297</v>
      </c>
      <c r="I213" s="186" t="s">
        <v>297</v>
      </c>
      <c r="J213" s="187" t="s">
        <v>965</v>
      </c>
      <c r="K213" s="5" t="s">
        <v>793</v>
      </c>
      <c r="L213" s="5"/>
      <c r="M213" s="5" t="s">
        <v>383</v>
      </c>
      <c r="N213" s="5"/>
      <c r="O213" s="190"/>
      <c r="P213" s="297">
        <v>12400</v>
      </c>
      <c r="Q213" s="91"/>
      <c r="R213" s="91"/>
      <c r="S213" s="91"/>
      <c r="T213" s="91"/>
      <c r="U213" s="91"/>
      <c r="V213" s="99">
        <f t="shared" si="6"/>
        <v>12400</v>
      </c>
      <c r="W213" s="34"/>
      <c r="X213" s="34" t="s">
        <v>296</v>
      </c>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5"/>
    </row>
    <row r="214" spans="1:53" ht="15" thickBot="1" x14ac:dyDescent="0.4">
      <c r="A214" s="24" t="s">
        <v>296</v>
      </c>
      <c r="B214" s="24" t="s">
        <v>297</v>
      </c>
      <c r="C214" s="24" t="s">
        <v>297</v>
      </c>
      <c r="D214" s="24" t="s">
        <v>297</v>
      </c>
      <c r="E214" s="24" t="s">
        <v>297</v>
      </c>
      <c r="F214" s="24" t="s">
        <v>297</v>
      </c>
      <c r="G214" s="24" t="s">
        <v>297</v>
      </c>
      <c r="H214" s="24" t="s">
        <v>297</v>
      </c>
      <c r="I214" s="186" t="s">
        <v>297</v>
      </c>
      <c r="J214" s="187" t="s">
        <v>965</v>
      </c>
      <c r="K214" s="5" t="s">
        <v>794</v>
      </c>
      <c r="L214" s="5"/>
      <c r="M214" s="5" t="s">
        <v>383</v>
      </c>
      <c r="N214" s="5"/>
      <c r="O214" s="190"/>
      <c r="P214" s="298">
        <v>677</v>
      </c>
      <c r="Q214" s="91"/>
      <c r="R214" s="91"/>
      <c r="S214" s="91"/>
      <c r="T214" s="91"/>
      <c r="U214" s="91"/>
      <c r="V214" s="99">
        <f t="shared" si="6"/>
        <v>677</v>
      </c>
      <c r="W214" s="34"/>
      <c r="X214" s="34" t="s">
        <v>296</v>
      </c>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5"/>
    </row>
    <row r="215" spans="1:53" ht="15" thickBot="1" x14ac:dyDescent="0.4">
      <c r="A215" s="24" t="s">
        <v>296</v>
      </c>
      <c r="B215" s="24" t="s">
        <v>297</v>
      </c>
      <c r="C215" s="24" t="s">
        <v>297</v>
      </c>
      <c r="D215" s="24" t="s">
        <v>297</v>
      </c>
      <c r="E215" s="24" t="s">
        <v>297</v>
      </c>
      <c r="F215" s="24" t="s">
        <v>297</v>
      </c>
      <c r="G215" s="24" t="s">
        <v>297</v>
      </c>
      <c r="H215" s="24" t="s">
        <v>297</v>
      </c>
      <c r="I215" s="186" t="s">
        <v>297</v>
      </c>
      <c r="J215" s="187" t="s">
        <v>965</v>
      </c>
      <c r="K215" s="5" t="s">
        <v>795</v>
      </c>
      <c r="L215" s="5"/>
      <c r="M215" s="5" t="s">
        <v>383</v>
      </c>
      <c r="N215" s="5"/>
      <c r="O215" s="190"/>
      <c r="P215" s="298">
        <v>116</v>
      </c>
      <c r="Q215" s="91"/>
      <c r="R215" s="91"/>
      <c r="S215" s="91"/>
      <c r="T215" s="91"/>
      <c r="U215" s="91"/>
      <c r="V215" s="99">
        <f t="shared" si="6"/>
        <v>116</v>
      </c>
      <c r="W215" s="34"/>
      <c r="X215" s="34" t="s">
        <v>296</v>
      </c>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5"/>
    </row>
    <row r="216" spans="1:53" ht="15" thickBot="1" x14ac:dyDescent="0.4">
      <c r="A216" s="24" t="s">
        <v>296</v>
      </c>
      <c r="B216" s="24" t="s">
        <v>297</v>
      </c>
      <c r="C216" s="24" t="s">
        <v>297</v>
      </c>
      <c r="D216" s="24" t="s">
        <v>297</v>
      </c>
      <c r="E216" s="24" t="s">
        <v>297</v>
      </c>
      <c r="F216" s="24" t="s">
        <v>297</v>
      </c>
      <c r="G216" s="24" t="s">
        <v>297</v>
      </c>
      <c r="H216" s="24" t="s">
        <v>297</v>
      </c>
      <c r="I216" s="186" t="s">
        <v>297</v>
      </c>
      <c r="J216" s="187" t="s">
        <v>965</v>
      </c>
      <c r="K216" s="5" t="s">
        <v>796</v>
      </c>
      <c r="L216" s="5"/>
      <c r="M216" s="5" t="s">
        <v>383</v>
      </c>
      <c r="N216" s="5"/>
      <c r="O216" s="190"/>
      <c r="P216" s="298">
        <v>3170</v>
      </c>
      <c r="Q216" s="91"/>
      <c r="R216" s="91"/>
      <c r="S216" s="91"/>
      <c r="T216" s="91"/>
      <c r="U216" s="91"/>
      <c r="V216" s="99">
        <f t="shared" si="6"/>
        <v>3170</v>
      </c>
      <c r="W216" s="34"/>
      <c r="X216" s="34" t="s">
        <v>296</v>
      </c>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5"/>
    </row>
    <row r="217" spans="1:53" ht="15" thickBot="1" x14ac:dyDescent="0.4">
      <c r="A217" s="24" t="s">
        <v>296</v>
      </c>
      <c r="B217" s="24" t="s">
        <v>297</v>
      </c>
      <c r="C217" s="24" t="s">
        <v>297</v>
      </c>
      <c r="D217" s="24" t="s">
        <v>297</v>
      </c>
      <c r="E217" s="24" t="s">
        <v>297</v>
      </c>
      <c r="F217" s="24" t="s">
        <v>297</v>
      </c>
      <c r="G217" s="24" t="s">
        <v>297</v>
      </c>
      <c r="H217" s="24" t="s">
        <v>297</v>
      </c>
      <c r="I217" s="186" t="s">
        <v>297</v>
      </c>
      <c r="J217" s="187" t="s">
        <v>965</v>
      </c>
      <c r="K217" s="5" t="s">
        <v>797</v>
      </c>
      <c r="L217" s="5"/>
      <c r="M217" s="5" t="s">
        <v>383</v>
      </c>
      <c r="N217" s="5"/>
      <c r="O217" s="190"/>
      <c r="P217" s="298">
        <v>1120</v>
      </c>
      <c r="Q217" s="91"/>
      <c r="R217" s="91"/>
      <c r="S217" s="91"/>
      <c r="T217" s="91"/>
      <c r="U217" s="91"/>
      <c r="V217" s="99">
        <f t="shared" si="6"/>
        <v>1120</v>
      </c>
      <c r="W217" s="34"/>
      <c r="X217" s="34" t="s">
        <v>296</v>
      </c>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5"/>
    </row>
    <row r="218" spans="1:53" ht="15" thickBot="1" x14ac:dyDescent="0.4">
      <c r="A218" s="24" t="s">
        <v>296</v>
      </c>
      <c r="B218" s="24" t="s">
        <v>297</v>
      </c>
      <c r="C218" s="24" t="s">
        <v>297</v>
      </c>
      <c r="D218" s="24" t="s">
        <v>297</v>
      </c>
      <c r="E218" s="24" t="s">
        <v>297</v>
      </c>
      <c r="F218" s="24" t="s">
        <v>297</v>
      </c>
      <c r="G218" s="24" t="s">
        <v>297</v>
      </c>
      <c r="H218" s="24" t="s">
        <v>297</v>
      </c>
      <c r="I218" s="186" t="s">
        <v>297</v>
      </c>
      <c r="J218" s="187" t="s">
        <v>965</v>
      </c>
      <c r="K218" s="5" t="s">
        <v>798</v>
      </c>
      <c r="L218" s="5"/>
      <c r="M218" s="5" t="s">
        <v>383</v>
      </c>
      <c r="N218" s="5"/>
      <c r="O218" s="190"/>
      <c r="P218" s="298">
        <v>1300</v>
      </c>
      <c r="Q218" s="91"/>
      <c r="R218" s="91"/>
      <c r="S218" s="91"/>
      <c r="T218" s="91"/>
      <c r="U218" s="91"/>
      <c r="V218" s="99">
        <f t="shared" si="6"/>
        <v>1300</v>
      </c>
      <c r="W218" s="34"/>
      <c r="X218" s="34" t="s">
        <v>296</v>
      </c>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5"/>
    </row>
    <row r="219" spans="1:53" ht="15" thickBot="1" x14ac:dyDescent="0.4">
      <c r="A219" s="24" t="s">
        <v>296</v>
      </c>
      <c r="B219" s="24" t="s">
        <v>297</v>
      </c>
      <c r="C219" s="24" t="s">
        <v>297</v>
      </c>
      <c r="D219" s="24" t="s">
        <v>297</v>
      </c>
      <c r="E219" s="24" t="s">
        <v>297</v>
      </c>
      <c r="F219" s="24" t="s">
        <v>297</v>
      </c>
      <c r="G219" s="24" t="s">
        <v>297</v>
      </c>
      <c r="H219" s="24" t="s">
        <v>297</v>
      </c>
      <c r="I219" s="186" t="s">
        <v>297</v>
      </c>
      <c r="J219" s="187" t="s">
        <v>965</v>
      </c>
      <c r="K219" s="5" t="s">
        <v>799</v>
      </c>
      <c r="L219" s="5"/>
      <c r="M219" s="5" t="s">
        <v>383</v>
      </c>
      <c r="N219" s="5"/>
      <c r="O219" s="190"/>
      <c r="P219" s="298">
        <v>328</v>
      </c>
      <c r="Q219" s="91"/>
      <c r="R219" s="91"/>
      <c r="S219" s="91"/>
      <c r="T219" s="91"/>
      <c r="U219" s="91"/>
      <c r="V219" s="99">
        <f t="shared" si="6"/>
        <v>328</v>
      </c>
      <c r="W219" s="34"/>
      <c r="X219" s="34" t="s">
        <v>296</v>
      </c>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5"/>
    </row>
    <row r="220" spans="1:53" ht="15" thickBot="1" x14ac:dyDescent="0.4">
      <c r="A220" s="24" t="s">
        <v>296</v>
      </c>
      <c r="B220" s="24" t="s">
        <v>297</v>
      </c>
      <c r="C220" s="24" t="s">
        <v>297</v>
      </c>
      <c r="D220" s="24" t="s">
        <v>297</v>
      </c>
      <c r="E220" s="24" t="s">
        <v>297</v>
      </c>
      <c r="F220" s="24" t="s">
        <v>297</v>
      </c>
      <c r="G220" s="24" t="s">
        <v>297</v>
      </c>
      <c r="H220" s="24" t="s">
        <v>297</v>
      </c>
      <c r="I220" s="186" t="s">
        <v>297</v>
      </c>
      <c r="J220" s="187" t="s">
        <v>965</v>
      </c>
      <c r="K220" s="5" t="s">
        <v>800</v>
      </c>
      <c r="L220" s="5"/>
      <c r="M220" s="5" t="s">
        <v>383</v>
      </c>
      <c r="N220" s="5"/>
      <c r="O220" s="190"/>
      <c r="P220" s="298">
        <v>4800</v>
      </c>
      <c r="Q220" s="91"/>
      <c r="R220" s="91"/>
      <c r="S220" s="91"/>
      <c r="T220" s="91"/>
      <c r="U220" s="91"/>
      <c r="V220" s="99">
        <f t="shared" si="6"/>
        <v>4800</v>
      </c>
      <c r="W220" s="34"/>
      <c r="X220" s="34" t="s">
        <v>296</v>
      </c>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5"/>
    </row>
    <row r="221" spans="1:53" ht="15" thickBot="1" x14ac:dyDescent="0.4">
      <c r="A221" s="24" t="s">
        <v>296</v>
      </c>
      <c r="B221" s="24" t="s">
        <v>297</v>
      </c>
      <c r="C221" s="24" t="s">
        <v>297</v>
      </c>
      <c r="D221" s="24" t="s">
        <v>297</v>
      </c>
      <c r="E221" s="24" t="s">
        <v>297</v>
      </c>
      <c r="F221" s="24" t="s">
        <v>297</v>
      </c>
      <c r="G221" s="24" t="s">
        <v>297</v>
      </c>
      <c r="H221" s="24" t="s">
        <v>297</v>
      </c>
      <c r="I221" s="186" t="s">
        <v>297</v>
      </c>
      <c r="J221" s="187" t="s">
        <v>965</v>
      </c>
      <c r="K221" s="5" t="s">
        <v>801</v>
      </c>
      <c r="L221" s="5"/>
      <c r="M221" s="5" t="s">
        <v>383</v>
      </c>
      <c r="N221" s="5"/>
      <c r="O221" s="190"/>
      <c r="P221" s="298">
        <v>138</v>
      </c>
      <c r="Q221" s="91"/>
      <c r="R221" s="91"/>
      <c r="S221" s="91"/>
      <c r="T221" s="91"/>
      <c r="U221" s="91"/>
      <c r="V221" s="99">
        <f t="shared" si="6"/>
        <v>138</v>
      </c>
      <c r="W221" s="34"/>
      <c r="X221" s="34" t="s">
        <v>296</v>
      </c>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5"/>
    </row>
    <row r="222" spans="1:53" ht="15" thickBot="1" x14ac:dyDescent="0.4">
      <c r="A222" s="24" t="s">
        <v>296</v>
      </c>
      <c r="B222" s="24" t="s">
        <v>297</v>
      </c>
      <c r="C222" s="24" t="s">
        <v>297</v>
      </c>
      <c r="D222" s="24" t="s">
        <v>297</v>
      </c>
      <c r="E222" s="24" t="s">
        <v>297</v>
      </c>
      <c r="F222" s="24" t="s">
        <v>297</v>
      </c>
      <c r="G222" s="24" t="s">
        <v>297</v>
      </c>
      <c r="H222" s="24" t="s">
        <v>297</v>
      </c>
      <c r="I222" s="186" t="s">
        <v>297</v>
      </c>
      <c r="J222" s="187" t="s">
        <v>965</v>
      </c>
      <c r="K222" s="5" t="s">
        <v>802</v>
      </c>
      <c r="L222" s="5"/>
      <c r="M222" s="5" t="s">
        <v>383</v>
      </c>
      <c r="N222" s="5"/>
      <c r="O222" s="190"/>
      <c r="P222" s="298">
        <v>3350</v>
      </c>
      <c r="Q222" s="91"/>
      <c r="R222" s="91"/>
      <c r="S222" s="91"/>
      <c r="T222" s="91"/>
      <c r="U222" s="91"/>
      <c r="V222" s="99">
        <f t="shared" si="6"/>
        <v>3350</v>
      </c>
      <c r="W222" s="34"/>
      <c r="X222" s="34" t="s">
        <v>296</v>
      </c>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5"/>
    </row>
    <row r="223" spans="1:53" ht="15" thickBot="1" x14ac:dyDescent="0.4">
      <c r="A223" s="24" t="s">
        <v>296</v>
      </c>
      <c r="B223" s="24" t="s">
        <v>297</v>
      </c>
      <c r="C223" s="24" t="s">
        <v>297</v>
      </c>
      <c r="D223" s="24" t="s">
        <v>297</v>
      </c>
      <c r="E223" s="24" t="s">
        <v>297</v>
      </c>
      <c r="F223" s="24" t="s">
        <v>297</v>
      </c>
      <c r="G223" s="24" t="s">
        <v>297</v>
      </c>
      <c r="H223" s="24" t="s">
        <v>297</v>
      </c>
      <c r="I223" s="186" t="s">
        <v>297</v>
      </c>
      <c r="J223" s="187" t="s">
        <v>965</v>
      </c>
      <c r="K223" s="5" t="s">
        <v>803</v>
      </c>
      <c r="L223" s="5"/>
      <c r="M223" s="5" t="s">
        <v>383</v>
      </c>
      <c r="N223" s="5"/>
      <c r="O223" s="190"/>
      <c r="P223" s="298">
        <v>8060</v>
      </c>
      <c r="Q223" s="91"/>
      <c r="R223" s="91"/>
      <c r="S223" s="91"/>
      <c r="T223" s="91"/>
      <c r="U223" s="91"/>
      <c r="V223" s="99">
        <f t="shared" si="6"/>
        <v>8060</v>
      </c>
      <c r="W223" s="34"/>
      <c r="X223" s="34" t="s">
        <v>296</v>
      </c>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5"/>
    </row>
    <row r="224" spans="1:53" ht="15" thickBot="1" x14ac:dyDescent="0.4">
      <c r="A224" s="24" t="s">
        <v>296</v>
      </c>
      <c r="B224" s="24" t="s">
        <v>297</v>
      </c>
      <c r="C224" s="24" t="s">
        <v>297</v>
      </c>
      <c r="D224" s="24" t="s">
        <v>297</v>
      </c>
      <c r="E224" s="24" t="s">
        <v>297</v>
      </c>
      <c r="F224" s="24" t="s">
        <v>297</v>
      </c>
      <c r="G224" s="24" t="s">
        <v>297</v>
      </c>
      <c r="H224" s="24" t="s">
        <v>297</v>
      </c>
      <c r="I224" s="186" t="s">
        <v>297</v>
      </c>
      <c r="J224" s="187" t="s">
        <v>965</v>
      </c>
      <c r="K224" s="5" t="s">
        <v>804</v>
      </c>
      <c r="L224" s="5"/>
      <c r="M224" s="5" t="s">
        <v>383</v>
      </c>
      <c r="N224" s="5"/>
      <c r="O224" s="190"/>
      <c r="P224" s="298">
        <v>858</v>
      </c>
      <c r="Q224" s="91"/>
      <c r="R224" s="91"/>
      <c r="S224" s="91"/>
      <c r="T224" s="91"/>
      <c r="U224" s="91"/>
      <c r="V224" s="99">
        <f t="shared" si="6"/>
        <v>858</v>
      </c>
      <c r="W224" s="34"/>
      <c r="X224" s="34" t="s">
        <v>296</v>
      </c>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5"/>
    </row>
    <row r="225" spans="1:53" ht="15" thickBot="1" x14ac:dyDescent="0.4">
      <c r="A225" s="24" t="s">
        <v>296</v>
      </c>
      <c r="B225" s="24" t="s">
        <v>297</v>
      </c>
      <c r="C225" s="24" t="s">
        <v>297</v>
      </c>
      <c r="D225" s="24" t="s">
        <v>297</v>
      </c>
      <c r="E225" s="24" t="s">
        <v>297</v>
      </c>
      <c r="F225" s="24" t="s">
        <v>297</v>
      </c>
      <c r="G225" s="24" t="s">
        <v>297</v>
      </c>
      <c r="H225" s="24" t="s">
        <v>297</v>
      </c>
      <c r="I225" s="186" t="s">
        <v>297</v>
      </c>
      <c r="J225" s="187" t="s">
        <v>965</v>
      </c>
      <c r="K225" s="5" t="s">
        <v>805</v>
      </c>
      <c r="L225" s="5"/>
      <c r="M225" s="5" t="s">
        <v>383</v>
      </c>
      <c r="N225" s="5"/>
      <c r="O225" s="190"/>
      <c r="P225" s="298">
        <v>1650</v>
      </c>
      <c r="Q225" s="91"/>
      <c r="R225" s="91"/>
      <c r="S225" s="91"/>
      <c r="T225" s="91"/>
      <c r="U225" s="91"/>
      <c r="V225" s="99">
        <f t="shared" si="6"/>
        <v>1650</v>
      </c>
      <c r="W225" s="34"/>
      <c r="X225" s="34" t="s">
        <v>296</v>
      </c>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5"/>
    </row>
    <row r="226" spans="1:53" ht="15" thickBot="1" x14ac:dyDescent="0.4">
      <c r="A226" s="24" t="s">
        <v>296</v>
      </c>
      <c r="B226" s="24" t="s">
        <v>297</v>
      </c>
      <c r="C226" s="24" t="s">
        <v>297</v>
      </c>
      <c r="D226" s="24" t="s">
        <v>297</v>
      </c>
      <c r="E226" s="24" t="s">
        <v>297</v>
      </c>
      <c r="F226" s="24" t="s">
        <v>297</v>
      </c>
      <c r="G226" s="24" t="s">
        <v>297</v>
      </c>
      <c r="H226" s="24" t="s">
        <v>297</v>
      </c>
      <c r="I226" s="186" t="s">
        <v>297</v>
      </c>
      <c r="J226" s="187" t="s">
        <v>965</v>
      </c>
      <c r="K226" s="5" t="s">
        <v>806</v>
      </c>
      <c r="L226" s="5"/>
      <c r="M226" s="5" t="s">
        <v>383</v>
      </c>
      <c r="N226" s="5"/>
      <c r="O226" s="190"/>
      <c r="P226" s="298">
        <v>6630</v>
      </c>
      <c r="Q226" s="91"/>
      <c r="R226" s="91"/>
      <c r="S226" s="91"/>
      <c r="T226" s="91"/>
      <c r="U226" s="91"/>
      <c r="V226" s="99">
        <f t="shared" si="6"/>
        <v>6630</v>
      </c>
      <c r="W226" s="34"/>
      <c r="X226" s="34" t="s">
        <v>296</v>
      </c>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5"/>
    </row>
    <row r="227" spans="1:53" ht="15" thickBot="1" x14ac:dyDescent="0.4">
      <c r="A227" s="24" t="s">
        <v>296</v>
      </c>
      <c r="B227" s="24" t="s">
        <v>297</v>
      </c>
      <c r="C227" s="24" t="s">
        <v>297</v>
      </c>
      <c r="D227" s="24" t="s">
        <v>297</v>
      </c>
      <c r="E227" s="24" t="s">
        <v>297</v>
      </c>
      <c r="F227" s="24" t="s">
        <v>297</v>
      </c>
      <c r="G227" s="24" t="s">
        <v>297</v>
      </c>
      <c r="H227" s="24" t="s">
        <v>297</v>
      </c>
      <c r="I227" s="186" t="s">
        <v>297</v>
      </c>
      <c r="J227" s="187" t="s">
        <v>965</v>
      </c>
      <c r="K227" s="5" t="s">
        <v>807</v>
      </c>
      <c r="L227" s="5"/>
      <c r="M227" s="5" t="s">
        <v>383</v>
      </c>
      <c r="N227" s="5"/>
      <c r="O227" s="190"/>
      <c r="P227" s="298">
        <v>11100</v>
      </c>
      <c r="Q227" s="91"/>
      <c r="R227" s="91"/>
      <c r="S227" s="91"/>
      <c r="T227" s="91"/>
      <c r="U227" s="91"/>
      <c r="V227" s="99">
        <f t="shared" si="6"/>
        <v>11100</v>
      </c>
      <c r="W227" s="34"/>
      <c r="X227" s="34" t="s">
        <v>296</v>
      </c>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5"/>
    </row>
    <row r="228" spans="1:53" ht="15" thickBot="1" x14ac:dyDescent="0.4">
      <c r="A228" s="24" t="s">
        <v>296</v>
      </c>
      <c r="B228" s="24" t="s">
        <v>297</v>
      </c>
      <c r="C228" s="24" t="s">
        <v>297</v>
      </c>
      <c r="D228" s="24" t="s">
        <v>297</v>
      </c>
      <c r="E228" s="24" t="s">
        <v>297</v>
      </c>
      <c r="F228" s="24" t="s">
        <v>297</v>
      </c>
      <c r="G228" s="24" t="s">
        <v>297</v>
      </c>
      <c r="H228" s="24" t="s">
        <v>297</v>
      </c>
      <c r="I228" s="186" t="s">
        <v>297</v>
      </c>
      <c r="J228" s="187" t="s">
        <v>965</v>
      </c>
      <c r="K228" s="5" t="s">
        <v>808</v>
      </c>
      <c r="L228" s="5"/>
      <c r="M228" s="5" t="s">
        <v>383</v>
      </c>
      <c r="N228" s="5"/>
      <c r="O228" s="190"/>
      <c r="P228" s="298">
        <v>8900</v>
      </c>
      <c r="Q228" s="91"/>
      <c r="R228" s="91"/>
      <c r="S228" s="91"/>
      <c r="T228" s="91"/>
      <c r="U228" s="91"/>
      <c r="V228" s="99">
        <f t="shared" si="6"/>
        <v>8900</v>
      </c>
      <c r="W228" s="34"/>
      <c r="X228" s="34" t="s">
        <v>296</v>
      </c>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5"/>
    </row>
    <row r="229" spans="1:53" ht="26.5" thickBot="1" x14ac:dyDescent="0.4">
      <c r="A229" s="24" t="s">
        <v>296</v>
      </c>
      <c r="B229" s="24" t="s">
        <v>297</v>
      </c>
      <c r="C229" s="24" t="s">
        <v>297</v>
      </c>
      <c r="D229" s="24" t="s">
        <v>297</v>
      </c>
      <c r="E229" s="24" t="s">
        <v>297</v>
      </c>
      <c r="F229" s="24" t="s">
        <v>297</v>
      </c>
      <c r="G229" s="24" t="s">
        <v>297</v>
      </c>
      <c r="H229" s="24" t="s">
        <v>297</v>
      </c>
      <c r="I229" s="186" t="s">
        <v>297</v>
      </c>
      <c r="J229" s="187" t="s">
        <v>965</v>
      </c>
      <c r="K229" s="5" t="s">
        <v>809</v>
      </c>
      <c r="L229" s="5"/>
      <c r="M229" s="5" t="s">
        <v>383</v>
      </c>
      <c r="N229" s="5"/>
      <c r="O229" s="190"/>
      <c r="P229" s="298">
        <v>9540</v>
      </c>
      <c r="Q229" s="91"/>
      <c r="R229" s="91"/>
      <c r="S229" s="91"/>
      <c r="T229" s="91"/>
      <c r="U229" s="91"/>
      <c r="V229" s="99">
        <f t="shared" si="6"/>
        <v>9540</v>
      </c>
      <c r="W229" s="34"/>
      <c r="X229" s="34" t="s">
        <v>296</v>
      </c>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5"/>
    </row>
    <row r="230" spans="1:53" ht="26.5" thickBot="1" x14ac:dyDescent="0.4">
      <c r="A230" s="24" t="s">
        <v>296</v>
      </c>
      <c r="B230" s="24" t="s">
        <v>297</v>
      </c>
      <c r="C230" s="24" t="s">
        <v>297</v>
      </c>
      <c r="D230" s="24" t="s">
        <v>297</v>
      </c>
      <c r="E230" s="24" t="s">
        <v>297</v>
      </c>
      <c r="F230" s="24" t="s">
        <v>297</v>
      </c>
      <c r="G230" s="24" t="s">
        <v>297</v>
      </c>
      <c r="H230" s="24" t="s">
        <v>297</v>
      </c>
      <c r="I230" s="186" t="s">
        <v>297</v>
      </c>
      <c r="J230" s="187" t="s">
        <v>965</v>
      </c>
      <c r="K230" s="5" t="s">
        <v>810</v>
      </c>
      <c r="L230" s="5"/>
      <c r="M230" s="5" t="s">
        <v>383</v>
      </c>
      <c r="N230" s="5"/>
      <c r="O230" s="190"/>
      <c r="P230" s="298">
        <v>9200</v>
      </c>
      <c r="Q230" s="91"/>
      <c r="R230" s="91"/>
      <c r="S230" s="91"/>
      <c r="T230" s="91"/>
      <c r="U230" s="91"/>
      <c r="V230" s="99">
        <f t="shared" si="6"/>
        <v>9200</v>
      </c>
      <c r="W230" s="34"/>
      <c r="X230" s="34" t="s">
        <v>296</v>
      </c>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5"/>
    </row>
    <row r="231" spans="1:53" ht="26.5" thickBot="1" x14ac:dyDescent="0.4">
      <c r="A231" s="24" t="s">
        <v>296</v>
      </c>
      <c r="B231" s="24" t="s">
        <v>297</v>
      </c>
      <c r="C231" s="24" t="s">
        <v>297</v>
      </c>
      <c r="D231" s="24" t="s">
        <v>297</v>
      </c>
      <c r="E231" s="24" t="s">
        <v>297</v>
      </c>
      <c r="F231" s="24" t="s">
        <v>297</v>
      </c>
      <c r="G231" s="24" t="s">
        <v>297</v>
      </c>
      <c r="H231" s="24" t="s">
        <v>297</v>
      </c>
      <c r="I231" s="186" t="s">
        <v>297</v>
      </c>
      <c r="J231" s="187" t="s">
        <v>965</v>
      </c>
      <c r="K231" s="5" t="s">
        <v>811</v>
      </c>
      <c r="L231" s="5"/>
      <c r="M231" s="5" t="s">
        <v>383</v>
      </c>
      <c r="N231" s="5"/>
      <c r="O231" s="190"/>
      <c r="P231" s="298">
        <v>8550</v>
      </c>
      <c r="Q231" s="91"/>
      <c r="R231" s="91"/>
      <c r="S231" s="91"/>
      <c r="T231" s="91"/>
      <c r="U231" s="91"/>
      <c r="V231" s="99">
        <f t="shared" si="6"/>
        <v>8550</v>
      </c>
      <c r="W231" s="34"/>
      <c r="X231" s="34" t="s">
        <v>296</v>
      </c>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5"/>
    </row>
    <row r="232" spans="1:53" ht="26.5" thickBot="1" x14ac:dyDescent="0.4">
      <c r="A232" s="24" t="s">
        <v>296</v>
      </c>
      <c r="B232" s="24" t="s">
        <v>297</v>
      </c>
      <c r="C232" s="24" t="s">
        <v>297</v>
      </c>
      <c r="D232" s="24" t="s">
        <v>297</v>
      </c>
      <c r="E232" s="24" t="s">
        <v>297</v>
      </c>
      <c r="F232" s="24" t="s">
        <v>297</v>
      </c>
      <c r="G232" s="24" t="s">
        <v>297</v>
      </c>
      <c r="H232" s="24" t="s">
        <v>297</v>
      </c>
      <c r="I232" s="186" t="s">
        <v>297</v>
      </c>
      <c r="J232" s="187" t="s">
        <v>965</v>
      </c>
      <c r="K232" s="5" t="s">
        <v>812</v>
      </c>
      <c r="L232" s="5"/>
      <c r="M232" s="5" t="s">
        <v>383</v>
      </c>
      <c r="N232" s="5"/>
      <c r="O232" s="190"/>
      <c r="P232" s="298">
        <v>7910</v>
      </c>
      <c r="Q232" s="91"/>
      <c r="R232" s="91"/>
      <c r="S232" s="91"/>
      <c r="T232" s="91"/>
      <c r="U232" s="91"/>
      <c r="V232" s="99">
        <f t="shared" si="6"/>
        <v>7910</v>
      </c>
      <c r="W232" s="34"/>
      <c r="X232" s="34" t="s">
        <v>296</v>
      </c>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5"/>
    </row>
    <row r="233" spans="1:53" ht="15" thickBot="1" x14ac:dyDescent="0.4">
      <c r="A233" s="24" t="s">
        <v>296</v>
      </c>
      <c r="B233" s="24" t="s">
        <v>297</v>
      </c>
      <c r="C233" s="24" t="s">
        <v>297</v>
      </c>
      <c r="D233" s="24" t="s">
        <v>297</v>
      </c>
      <c r="E233" s="24" t="s">
        <v>297</v>
      </c>
      <c r="F233" s="24" t="s">
        <v>297</v>
      </c>
      <c r="G233" s="24" t="s">
        <v>297</v>
      </c>
      <c r="H233" s="24" t="s">
        <v>297</v>
      </c>
      <c r="I233" s="186" t="s">
        <v>297</v>
      </c>
      <c r="J233" s="187" t="s">
        <v>965</v>
      </c>
      <c r="K233" s="5" t="s">
        <v>813</v>
      </c>
      <c r="L233" s="5"/>
      <c r="M233" s="5" t="s">
        <v>383</v>
      </c>
      <c r="N233" s="5"/>
      <c r="O233" s="190"/>
      <c r="P233" s="298">
        <v>7190</v>
      </c>
      <c r="Q233" s="91"/>
      <c r="R233" s="91"/>
      <c r="S233" s="91"/>
      <c r="T233" s="91"/>
      <c r="U233" s="91"/>
      <c r="V233" s="99">
        <f t="shared" si="6"/>
        <v>7190</v>
      </c>
      <c r="W233" s="34"/>
      <c r="X233" s="34" t="s">
        <v>296</v>
      </c>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5"/>
    </row>
    <row r="234" spans="1:53" ht="15" thickBot="1" x14ac:dyDescent="0.4">
      <c r="A234" s="24" t="s">
        <v>296</v>
      </c>
      <c r="B234" s="24" t="s">
        <v>297</v>
      </c>
      <c r="C234" s="24" t="s">
        <v>297</v>
      </c>
      <c r="D234" s="24" t="s">
        <v>297</v>
      </c>
      <c r="E234" s="24" t="s">
        <v>297</v>
      </c>
      <c r="F234" s="24" t="s">
        <v>297</v>
      </c>
      <c r="G234" s="24" t="s">
        <v>297</v>
      </c>
      <c r="H234" s="24" t="s">
        <v>297</v>
      </c>
      <c r="I234" s="186" t="s">
        <v>297</v>
      </c>
      <c r="J234" s="187" t="s">
        <v>965</v>
      </c>
      <c r="K234" s="5" t="s">
        <v>814</v>
      </c>
      <c r="L234" s="5"/>
      <c r="M234" s="5" t="s">
        <v>383</v>
      </c>
      <c r="N234" s="5"/>
      <c r="O234" s="190"/>
      <c r="P234" s="298">
        <v>9200</v>
      </c>
      <c r="Q234" s="91"/>
      <c r="R234" s="91"/>
      <c r="S234" s="91"/>
      <c r="T234" s="91"/>
      <c r="U234" s="91"/>
      <c r="V234" s="99">
        <f t="shared" si="6"/>
        <v>9200</v>
      </c>
      <c r="W234" s="34"/>
      <c r="X234" s="34" t="s">
        <v>296</v>
      </c>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5"/>
    </row>
    <row r="235" spans="1:53" ht="15" thickBot="1" x14ac:dyDescent="0.4">
      <c r="A235" s="24" t="s">
        <v>296</v>
      </c>
      <c r="B235" s="24" t="s">
        <v>297</v>
      </c>
      <c r="C235" s="24" t="s">
        <v>297</v>
      </c>
      <c r="D235" s="24" t="s">
        <v>297</v>
      </c>
      <c r="E235" s="24" t="s">
        <v>297</v>
      </c>
      <c r="F235" s="24" t="s">
        <v>297</v>
      </c>
      <c r="G235" s="24" t="s">
        <v>297</v>
      </c>
      <c r="H235" s="24" t="s">
        <v>297</v>
      </c>
      <c r="I235" s="186" t="s">
        <v>297</v>
      </c>
      <c r="J235" s="187" t="s">
        <v>965</v>
      </c>
      <c r="K235" s="5" t="s">
        <v>815</v>
      </c>
      <c r="L235" s="5"/>
      <c r="M235" s="5" t="s">
        <v>383</v>
      </c>
      <c r="N235" s="5"/>
      <c r="O235" s="190"/>
      <c r="P235" s="298">
        <v>23500</v>
      </c>
      <c r="Q235" s="91"/>
      <c r="R235" s="91"/>
      <c r="S235" s="91"/>
      <c r="T235" s="91"/>
      <c r="U235" s="91"/>
      <c r="V235" s="99">
        <f t="shared" si="6"/>
        <v>23500</v>
      </c>
      <c r="W235" s="34"/>
      <c r="X235" s="34" t="s">
        <v>296</v>
      </c>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5"/>
    </row>
    <row r="236" spans="1:53" ht="15" thickBot="1" x14ac:dyDescent="0.4">
      <c r="A236" s="24" t="s">
        <v>296</v>
      </c>
      <c r="B236" s="24" t="s">
        <v>297</v>
      </c>
      <c r="C236" s="24" t="s">
        <v>297</v>
      </c>
      <c r="D236" s="24" t="s">
        <v>297</v>
      </c>
      <c r="E236" s="24" t="s">
        <v>297</v>
      </c>
      <c r="F236" s="24" t="s">
        <v>297</v>
      </c>
      <c r="G236" s="24" t="s">
        <v>297</v>
      </c>
      <c r="H236" s="24" t="s">
        <v>297</v>
      </c>
      <c r="I236" s="186" t="s">
        <v>297</v>
      </c>
      <c r="J236" s="187" t="s">
        <v>965</v>
      </c>
      <c r="K236" s="5" t="s">
        <v>816</v>
      </c>
      <c r="L236" s="5"/>
      <c r="M236" s="5" t="s">
        <v>383</v>
      </c>
      <c r="N236" s="5"/>
      <c r="O236" s="190"/>
      <c r="P236" s="298">
        <v>16</v>
      </c>
      <c r="Q236" s="91"/>
      <c r="R236" s="91"/>
      <c r="S236" s="91"/>
      <c r="T236" s="91"/>
      <c r="U236" s="91"/>
      <c r="V236" s="99">
        <f t="shared" si="6"/>
        <v>16</v>
      </c>
      <c r="W236" s="34"/>
      <c r="X236" s="34" t="s">
        <v>296</v>
      </c>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5"/>
    </row>
    <row r="237" spans="1:53" ht="15" thickBot="1" x14ac:dyDescent="0.4">
      <c r="A237" s="24" t="s">
        <v>296</v>
      </c>
      <c r="B237" s="24" t="s">
        <v>297</v>
      </c>
      <c r="C237" s="24" t="s">
        <v>297</v>
      </c>
      <c r="D237" s="24" t="s">
        <v>297</v>
      </c>
      <c r="E237" s="24" t="s">
        <v>297</v>
      </c>
      <c r="F237" s="24" t="s">
        <v>297</v>
      </c>
      <c r="G237" s="24" t="s">
        <v>297</v>
      </c>
      <c r="H237" s="24" t="s">
        <v>297</v>
      </c>
      <c r="I237" s="186" t="s">
        <v>297</v>
      </c>
      <c r="J237" s="187" t="s">
        <v>965</v>
      </c>
      <c r="K237" s="5" t="s">
        <v>817</v>
      </c>
      <c r="L237" s="5"/>
      <c r="M237" s="5" t="s">
        <v>383</v>
      </c>
      <c r="N237" s="5"/>
      <c r="O237" s="190"/>
      <c r="P237" s="298">
        <v>4</v>
      </c>
      <c r="Q237" s="91"/>
      <c r="R237" s="91"/>
      <c r="S237" s="91"/>
      <c r="T237" s="91"/>
      <c r="U237" s="91"/>
      <c r="V237" s="99">
        <f t="shared" si="6"/>
        <v>4</v>
      </c>
      <c r="W237" s="34"/>
      <c r="X237" s="34" t="s">
        <v>296</v>
      </c>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5"/>
    </row>
    <row r="238" spans="1:53" ht="15" thickBot="1" x14ac:dyDescent="0.4">
      <c r="A238" s="24" t="s">
        <v>296</v>
      </c>
      <c r="B238" s="24" t="s">
        <v>297</v>
      </c>
      <c r="C238" s="24" t="s">
        <v>297</v>
      </c>
      <c r="D238" s="24" t="s">
        <v>297</v>
      </c>
      <c r="E238" s="24" t="s">
        <v>297</v>
      </c>
      <c r="F238" s="24" t="s">
        <v>297</v>
      </c>
      <c r="G238" s="24" t="s">
        <v>297</v>
      </c>
      <c r="H238" s="24" t="s">
        <v>297</v>
      </c>
      <c r="I238" s="186" t="s">
        <v>297</v>
      </c>
      <c r="J238" s="187" t="s">
        <v>965</v>
      </c>
      <c r="K238" s="5" t="s">
        <v>818</v>
      </c>
      <c r="L238" s="5"/>
      <c r="M238" s="5" t="s">
        <v>383</v>
      </c>
      <c r="N238" s="5"/>
      <c r="O238" s="190"/>
      <c r="P238" s="298">
        <v>1210</v>
      </c>
      <c r="Q238" s="91"/>
      <c r="R238" s="91"/>
      <c r="S238" s="91"/>
      <c r="T238" s="91"/>
      <c r="U238" s="91"/>
      <c r="V238" s="99">
        <f t="shared" si="6"/>
        <v>1210</v>
      </c>
      <c r="W238" s="34"/>
      <c r="X238" s="34" t="s">
        <v>296</v>
      </c>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5"/>
    </row>
    <row r="239" spans="1:53" ht="15" thickBot="1" x14ac:dyDescent="0.4">
      <c r="A239" s="24" t="s">
        <v>296</v>
      </c>
      <c r="B239" s="24" t="s">
        <v>297</v>
      </c>
      <c r="C239" s="24" t="s">
        <v>297</v>
      </c>
      <c r="D239" s="24" t="s">
        <v>297</v>
      </c>
      <c r="E239" s="24" t="s">
        <v>297</v>
      </c>
      <c r="F239" s="24" t="s">
        <v>297</v>
      </c>
      <c r="G239" s="24" t="s">
        <v>297</v>
      </c>
      <c r="H239" s="24" t="s">
        <v>297</v>
      </c>
      <c r="I239" s="186" t="s">
        <v>297</v>
      </c>
      <c r="J239" s="187" t="s">
        <v>965</v>
      </c>
      <c r="K239" s="5" t="s">
        <v>819</v>
      </c>
      <c r="L239" s="5"/>
      <c r="M239" s="5" t="s">
        <v>383</v>
      </c>
      <c r="N239" s="5"/>
      <c r="O239" s="190"/>
      <c r="P239" s="298">
        <v>1330</v>
      </c>
      <c r="Q239" s="91"/>
      <c r="R239" s="91"/>
      <c r="S239" s="91"/>
      <c r="T239" s="91"/>
      <c r="U239" s="91"/>
      <c r="V239" s="99">
        <f t="shared" si="6"/>
        <v>1330</v>
      </c>
      <c r="W239" s="34"/>
      <c r="X239" s="34" t="s">
        <v>296</v>
      </c>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5"/>
    </row>
    <row r="240" spans="1:53" ht="15" thickBot="1" x14ac:dyDescent="0.4">
      <c r="A240" s="24" t="s">
        <v>296</v>
      </c>
      <c r="B240" s="24" t="s">
        <v>297</v>
      </c>
      <c r="C240" s="24" t="s">
        <v>297</v>
      </c>
      <c r="D240" s="24" t="s">
        <v>297</v>
      </c>
      <c r="E240" s="24" t="s">
        <v>297</v>
      </c>
      <c r="F240" s="24" t="s">
        <v>297</v>
      </c>
      <c r="G240" s="24" t="s">
        <v>297</v>
      </c>
      <c r="H240" s="24" t="s">
        <v>297</v>
      </c>
      <c r="I240" s="186" t="s">
        <v>297</v>
      </c>
      <c r="J240" s="187" t="s">
        <v>965</v>
      </c>
      <c r="K240" s="5" t="s">
        <v>820</v>
      </c>
      <c r="L240" s="5"/>
      <c r="M240" s="5" t="s">
        <v>383</v>
      </c>
      <c r="N240" s="5"/>
      <c r="O240" s="190"/>
      <c r="P240" s="298">
        <v>716</v>
      </c>
      <c r="Q240" s="91"/>
      <c r="R240" s="91"/>
      <c r="S240" s="91"/>
      <c r="T240" s="91"/>
      <c r="U240" s="91"/>
      <c r="V240" s="99">
        <f t="shared" si="6"/>
        <v>716</v>
      </c>
      <c r="W240" s="34"/>
      <c r="X240" s="34" t="s">
        <v>296</v>
      </c>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5"/>
    </row>
    <row r="241" spans="1:53" ht="15" thickBot="1" x14ac:dyDescent="0.4">
      <c r="A241" s="24" t="s">
        <v>296</v>
      </c>
      <c r="B241" s="24" t="s">
        <v>297</v>
      </c>
      <c r="C241" s="24" t="s">
        <v>297</v>
      </c>
      <c r="D241" s="24" t="s">
        <v>297</v>
      </c>
      <c r="E241" s="24" t="s">
        <v>297</v>
      </c>
      <c r="F241" s="24" t="s">
        <v>297</v>
      </c>
      <c r="G241" s="24" t="s">
        <v>297</v>
      </c>
      <c r="H241" s="24" t="s">
        <v>297</v>
      </c>
      <c r="I241" s="186" t="s">
        <v>297</v>
      </c>
      <c r="J241" s="187" t="s">
        <v>965</v>
      </c>
      <c r="K241" s="5" t="s">
        <v>821</v>
      </c>
      <c r="L241" s="5"/>
      <c r="M241" s="5" t="s">
        <v>383</v>
      </c>
      <c r="N241" s="5"/>
      <c r="O241" s="190"/>
      <c r="P241" s="298">
        <v>804</v>
      </c>
      <c r="Q241" s="91"/>
      <c r="R241" s="91"/>
      <c r="S241" s="91"/>
      <c r="T241" s="91"/>
      <c r="U241" s="91"/>
      <c r="V241" s="99">
        <f t="shared" si="6"/>
        <v>804</v>
      </c>
      <c r="W241" s="34"/>
      <c r="X241" s="34" t="s">
        <v>296</v>
      </c>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5"/>
    </row>
    <row r="242" spans="1:53" ht="15" thickBot="1" x14ac:dyDescent="0.4">
      <c r="A242" s="24" t="s">
        <v>296</v>
      </c>
      <c r="B242" s="24" t="s">
        <v>297</v>
      </c>
      <c r="C242" s="24" t="s">
        <v>297</v>
      </c>
      <c r="D242" s="24" t="s">
        <v>297</v>
      </c>
      <c r="E242" s="24" t="s">
        <v>297</v>
      </c>
      <c r="F242" s="24" t="s">
        <v>297</v>
      </c>
      <c r="G242" s="24" t="s">
        <v>297</v>
      </c>
      <c r="H242" s="24" t="s">
        <v>297</v>
      </c>
      <c r="I242" s="186" t="s">
        <v>297</v>
      </c>
      <c r="J242" s="187" t="s">
        <v>965</v>
      </c>
      <c r="K242" s="5" t="s">
        <v>822</v>
      </c>
      <c r="L242" s="5"/>
      <c r="M242" s="5" t="s">
        <v>383</v>
      </c>
      <c r="N242" s="5"/>
      <c r="O242" s="190"/>
      <c r="P242" s="299">
        <v>16100</v>
      </c>
      <c r="Q242" s="91"/>
      <c r="R242" s="91"/>
      <c r="S242" s="91"/>
      <c r="T242" s="91"/>
      <c r="U242" s="91"/>
      <c r="V242" s="99">
        <f t="shared" si="6"/>
        <v>16100</v>
      </c>
      <c r="W242" s="34"/>
      <c r="X242" s="34" t="s">
        <v>296</v>
      </c>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5"/>
    </row>
    <row r="243" spans="1:53" ht="15" thickBot="1" x14ac:dyDescent="0.4">
      <c r="A243" s="24" t="s">
        <v>296</v>
      </c>
      <c r="B243" s="24" t="s">
        <v>297</v>
      </c>
      <c r="C243" s="24" t="s">
        <v>297</v>
      </c>
      <c r="D243" s="24" t="s">
        <v>297</v>
      </c>
      <c r="E243" s="24" t="s">
        <v>297</v>
      </c>
      <c r="F243" s="24" t="s">
        <v>297</v>
      </c>
      <c r="G243" s="24" t="s">
        <v>297</v>
      </c>
      <c r="H243" s="24" t="s">
        <v>297</v>
      </c>
      <c r="I243" s="186" t="s">
        <v>297</v>
      </c>
      <c r="J243" s="187" t="s">
        <v>965</v>
      </c>
      <c r="K243" s="5" t="s">
        <v>823</v>
      </c>
      <c r="L243" s="5"/>
      <c r="M243" s="5" t="s">
        <v>383</v>
      </c>
      <c r="N243" s="5"/>
      <c r="O243" s="5"/>
      <c r="P243" s="291">
        <v>1130</v>
      </c>
      <c r="Q243" s="91"/>
      <c r="R243" s="91"/>
      <c r="S243" s="91"/>
      <c r="T243" s="91"/>
      <c r="U243" s="91"/>
      <c r="V243" s="99">
        <f t="shared" si="6"/>
        <v>1130</v>
      </c>
      <c r="W243" s="34"/>
      <c r="X243" s="34" t="s">
        <v>296</v>
      </c>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5"/>
    </row>
    <row r="244" spans="1:53" ht="15" thickBot="1" x14ac:dyDescent="0.4">
      <c r="A244" s="24" t="s">
        <v>296</v>
      </c>
      <c r="B244" s="24" t="s">
        <v>297</v>
      </c>
      <c r="C244" s="24" t="s">
        <v>297</v>
      </c>
      <c r="D244" s="24" t="s">
        <v>297</v>
      </c>
      <c r="E244" s="24" t="s">
        <v>297</v>
      </c>
      <c r="F244" s="24" t="s">
        <v>297</v>
      </c>
      <c r="G244" s="24" t="s">
        <v>297</v>
      </c>
      <c r="H244" s="24" t="s">
        <v>297</v>
      </c>
      <c r="I244" s="186" t="s">
        <v>297</v>
      </c>
      <c r="J244" s="187" t="s">
        <v>965</v>
      </c>
      <c r="K244" s="5" t="s">
        <v>824</v>
      </c>
      <c r="L244" s="5"/>
      <c r="M244" s="5" t="s">
        <v>383</v>
      </c>
      <c r="N244" s="5"/>
      <c r="O244" s="5"/>
      <c r="P244" s="291">
        <v>1236</v>
      </c>
      <c r="Q244" s="91"/>
      <c r="R244" s="91"/>
      <c r="S244" s="91"/>
      <c r="T244" s="91"/>
      <c r="U244" s="91"/>
      <c r="V244" s="99">
        <f t="shared" si="6"/>
        <v>1236</v>
      </c>
      <c r="W244" s="34"/>
      <c r="X244" s="34" t="s">
        <v>296</v>
      </c>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5"/>
    </row>
    <row r="245" spans="1:53" ht="15" thickBot="1" x14ac:dyDescent="0.4">
      <c r="A245" s="24" t="s">
        <v>296</v>
      </c>
      <c r="B245" s="24" t="s">
        <v>297</v>
      </c>
      <c r="C245" s="24" t="s">
        <v>297</v>
      </c>
      <c r="D245" s="24" t="s">
        <v>297</v>
      </c>
      <c r="E245" s="24" t="s">
        <v>297</v>
      </c>
      <c r="F245" s="24" t="s">
        <v>297</v>
      </c>
      <c r="G245" s="24" t="s">
        <v>297</v>
      </c>
      <c r="H245" s="24" t="s">
        <v>297</v>
      </c>
      <c r="I245" s="186" t="s">
        <v>297</v>
      </c>
      <c r="J245" s="187" t="s">
        <v>965</v>
      </c>
      <c r="K245" s="5" t="s">
        <v>825</v>
      </c>
      <c r="L245" s="5"/>
      <c r="M245" s="5" t="s">
        <v>383</v>
      </c>
      <c r="N245" s="5"/>
      <c r="O245" s="5"/>
      <c r="P245" s="291">
        <v>876</v>
      </c>
      <c r="Q245" s="91"/>
      <c r="R245" s="91"/>
      <c r="S245" s="91"/>
      <c r="T245" s="91"/>
      <c r="U245" s="91"/>
      <c r="V245" s="99">
        <f t="shared" si="6"/>
        <v>876</v>
      </c>
      <c r="W245" s="34"/>
      <c r="X245" s="34" t="s">
        <v>296</v>
      </c>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5"/>
    </row>
    <row r="246" spans="1:53" ht="15" thickBot="1" x14ac:dyDescent="0.4">
      <c r="A246" s="24" t="s">
        <v>296</v>
      </c>
      <c r="B246" s="24" t="s">
        <v>297</v>
      </c>
      <c r="C246" s="24" t="s">
        <v>297</v>
      </c>
      <c r="D246" s="24" t="s">
        <v>297</v>
      </c>
      <c r="E246" s="24" t="s">
        <v>297</v>
      </c>
      <c r="F246" s="24" t="s">
        <v>297</v>
      </c>
      <c r="G246" s="24" t="s">
        <v>297</v>
      </c>
      <c r="H246" s="24" t="s">
        <v>297</v>
      </c>
      <c r="I246" s="186" t="s">
        <v>297</v>
      </c>
      <c r="J246" s="187" t="s">
        <v>965</v>
      </c>
      <c r="K246" s="5" t="s">
        <v>826</v>
      </c>
      <c r="L246" s="5"/>
      <c r="M246" s="5" t="s">
        <v>383</v>
      </c>
      <c r="N246" s="5"/>
      <c r="O246" s="5"/>
      <c r="P246" s="291">
        <v>2571</v>
      </c>
      <c r="Q246" s="91"/>
      <c r="R246" s="91"/>
      <c r="S246" s="91"/>
      <c r="T246" s="91"/>
      <c r="U246" s="91"/>
      <c r="V246" s="99">
        <f t="shared" si="6"/>
        <v>2571</v>
      </c>
      <c r="W246" s="34"/>
      <c r="X246" s="34" t="s">
        <v>296</v>
      </c>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5"/>
    </row>
    <row r="247" spans="1:53" ht="15" thickBot="1" x14ac:dyDescent="0.4">
      <c r="A247" s="24" t="s">
        <v>296</v>
      </c>
      <c r="B247" s="24" t="s">
        <v>297</v>
      </c>
      <c r="C247" s="24" t="s">
        <v>297</v>
      </c>
      <c r="D247" s="24" t="s">
        <v>297</v>
      </c>
      <c r="E247" s="24" t="s">
        <v>297</v>
      </c>
      <c r="F247" s="24" t="s">
        <v>297</v>
      </c>
      <c r="G247" s="24" t="s">
        <v>297</v>
      </c>
      <c r="H247" s="24" t="s">
        <v>297</v>
      </c>
      <c r="I247" s="186" t="s">
        <v>297</v>
      </c>
      <c r="J247" s="187" t="s">
        <v>965</v>
      </c>
      <c r="K247" s="5" t="s">
        <v>827</v>
      </c>
      <c r="L247" s="5"/>
      <c r="M247" s="5" t="s">
        <v>383</v>
      </c>
      <c r="N247" s="5"/>
      <c r="O247" s="5"/>
      <c r="P247" s="291">
        <v>2261</v>
      </c>
      <c r="Q247" s="91"/>
      <c r="R247" s="91"/>
      <c r="S247" s="91"/>
      <c r="T247" s="91"/>
      <c r="U247" s="91"/>
      <c r="V247" s="99">
        <f t="shared" si="6"/>
        <v>2261</v>
      </c>
      <c r="W247" s="34"/>
      <c r="X247" s="34" t="s">
        <v>296</v>
      </c>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5"/>
    </row>
    <row r="248" spans="1:53" ht="15" thickBot="1" x14ac:dyDescent="0.4">
      <c r="A248" s="24" t="s">
        <v>296</v>
      </c>
      <c r="B248" s="24" t="s">
        <v>297</v>
      </c>
      <c r="C248" s="24" t="s">
        <v>297</v>
      </c>
      <c r="D248" s="24" t="s">
        <v>297</v>
      </c>
      <c r="E248" s="24" t="s">
        <v>297</v>
      </c>
      <c r="F248" s="24" t="s">
        <v>297</v>
      </c>
      <c r="G248" s="24" t="s">
        <v>297</v>
      </c>
      <c r="H248" s="24" t="s">
        <v>297</v>
      </c>
      <c r="I248" s="186" t="s">
        <v>297</v>
      </c>
      <c r="J248" s="187" t="s">
        <v>965</v>
      </c>
      <c r="K248" s="5" t="s">
        <v>828</v>
      </c>
      <c r="L248" s="5"/>
      <c r="M248" s="5" t="s">
        <v>383</v>
      </c>
      <c r="N248" s="5"/>
      <c r="O248" s="5"/>
      <c r="P248" s="291">
        <v>3100</v>
      </c>
      <c r="Q248" s="91"/>
      <c r="R248" s="91"/>
      <c r="S248" s="91"/>
      <c r="T248" s="91"/>
      <c r="U248" s="91"/>
      <c r="V248" s="99">
        <f t="shared" si="6"/>
        <v>3100</v>
      </c>
      <c r="W248" s="34"/>
      <c r="X248" s="34" t="s">
        <v>296</v>
      </c>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5"/>
    </row>
    <row r="249" spans="1:53" ht="15" thickBot="1" x14ac:dyDescent="0.4">
      <c r="A249" s="24" t="s">
        <v>296</v>
      </c>
      <c r="B249" s="24" t="s">
        <v>297</v>
      </c>
      <c r="C249" s="24" t="s">
        <v>297</v>
      </c>
      <c r="D249" s="24" t="s">
        <v>297</v>
      </c>
      <c r="E249" s="24" t="s">
        <v>297</v>
      </c>
      <c r="F249" s="24" t="s">
        <v>297</v>
      </c>
      <c r="G249" s="24" t="s">
        <v>297</v>
      </c>
      <c r="H249" s="24" t="s">
        <v>297</v>
      </c>
      <c r="I249" s="186" t="s">
        <v>297</v>
      </c>
      <c r="J249" s="187" t="s">
        <v>965</v>
      </c>
      <c r="K249" s="5" t="s">
        <v>829</v>
      </c>
      <c r="L249" s="5"/>
      <c r="M249" s="5" t="s">
        <v>383</v>
      </c>
      <c r="N249" s="5"/>
      <c r="O249" s="5"/>
      <c r="P249" s="291">
        <v>4457</v>
      </c>
      <c r="Q249" s="91"/>
      <c r="R249" s="91"/>
      <c r="S249" s="91"/>
      <c r="T249" s="91"/>
      <c r="U249" s="91"/>
      <c r="V249" s="99">
        <f t="shared" si="6"/>
        <v>4457</v>
      </c>
      <c r="W249" s="34"/>
      <c r="X249" s="34" t="s">
        <v>296</v>
      </c>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5"/>
    </row>
    <row r="250" spans="1:53" ht="15" thickBot="1" x14ac:dyDescent="0.4">
      <c r="A250" s="24" t="s">
        <v>296</v>
      </c>
      <c r="B250" s="24" t="s">
        <v>297</v>
      </c>
      <c r="C250" s="24" t="s">
        <v>297</v>
      </c>
      <c r="D250" s="24" t="s">
        <v>297</v>
      </c>
      <c r="E250" s="24" t="s">
        <v>297</v>
      </c>
      <c r="F250" s="24" t="s">
        <v>297</v>
      </c>
      <c r="G250" s="24" t="s">
        <v>297</v>
      </c>
      <c r="H250" s="24" t="s">
        <v>297</v>
      </c>
      <c r="I250" s="186" t="s">
        <v>297</v>
      </c>
      <c r="J250" s="187" t="s">
        <v>965</v>
      </c>
      <c r="K250" s="5" t="s">
        <v>830</v>
      </c>
      <c r="L250" s="5"/>
      <c r="M250" s="5" t="s">
        <v>383</v>
      </c>
      <c r="N250" s="5"/>
      <c r="O250" s="5"/>
      <c r="P250" s="291">
        <v>3943</v>
      </c>
      <c r="Q250" s="91"/>
      <c r="R250" s="91"/>
      <c r="S250" s="91"/>
      <c r="T250" s="91"/>
      <c r="U250" s="91"/>
      <c r="V250" s="99">
        <f t="shared" si="6"/>
        <v>3943</v>
      </c>
      <c r="W250" s="34"/>
      <c r="X250" s="34" t="s">
        <v>296</v>
      </c>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5"/>
    </row>
    <row r="251" spans="1:53" ht="15" thickBot="1" x14ac:dyDescent="0.4">
      <c r="A251" s="24" t="s">
        <v>296</v>
      </c>
      <c r="B251" s="24" t="s">
        <v>297</v>
      </c>
      <c r="C251" s="24" t="s">
        <v>297</v>
      </c>
      <c r="D251" s="24" t="s">
        <v>297</v>
      </c>
      <c r="E251" s="24" t="s">
        <v>297</v>
      </c>
      <c r="F251" s="24" t="s">
        <v>297</v>
      </c>
      <c r="G251" s="24" t="s">
        <v>297</v>
      </c>
      <c r="H251" s="24" t="s">
        <v>297</v>
      </c>
      <c r="I251" s="186" t="s">
        <v>297</v>
      </c>
      <c r="J251" s="187" t="s">
        <v>965</v>
      </c>
      <c r="K251" s="5" t="s">
        <v>831</v>
      </c>
      <c r="L251" s="5"/>
      <c r="M251" s="5" t="s">
        <v>383</v>
      </c>
      <c r="N251" s="5"/>
      <c r="O251" s="5"/>
      <c r="P251" s="291">
        <v>4821</v>
      </c>
      <c r="Q251" s="91"/>
      <c r="R251" s="91"/>
      <c r="S251" s="91"/>
      <c r="T251" s="91"/>
      <c r="U251" s="91"/>
      <c r="V251" s="99">
        <f t="shared" si="6"/>
        <v>4821</v>
      </c>
      <c r="W251" s="34"/>
      <c r="X251" s="34" t="s">
        <v>296</v>
      </c>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5"/>
    </row>
    <row r="252" spans="1:53" ht="15" thickBot="1" x14ac:dyDescent="0.4">
      <c r="A252" s="24" t="s">
        <v>296</v>
      </c>
      <c r="B252" s="24" t="s">
        <v>297</v>
      </c>
      <c r="C252" s="24" t="s">
        <v>297</v>
      </c>
      <c r="D252" s="24" t="s">
        <v>297</v>
      </c>
      <c r="E252" s="24" t="s">
        <v>297</v>
      </c>
      <c r="F252" s="24" t="s">
        <v>297</v>
      </c>
      <c r="G252" s="24" t="s">
        <v>297</v>
      </c>
      <c r="H252" s="24" t="s">
        <v>297</v>
      </c>
      <c r="I252" s="186" t="s">
        <v>297</v>
      </c>
      <c r="J252" s="187" t="s">
        <v>965</v>
      </c>
      <c r="K252" s="5" t="s">
        <v>832</v>
      </c>
      <c r="L252" s="5"/>
      <c r="M252" s="5" t="s">
        <v>383</v>
      </c>
      <c r="N252" s="5"/>
      <c r="O252" s="5"/>
      <c r="P252" s="291">
        <v>1780</v>
      </c>
      <c r="Q252" s="91"/>
      <c r="R252" s="91"/>
      <c r="S252" s="91"/>
      <c r="T252" s="91"/>
      <c r="U252" s="91"/>
      <c r="V252" s="99">
        <f t="shared" si="6"/>
        <v>1780</v>
      </c>
      <c r="W252" s="34"/>
      <c r="X252" s="34" t="s">
        <v>296</v>
      </c>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5"/>
    </row>
    <row r="253" spans="1:53" ht="15" thickBot="1" x14ac:dyDescent="0.4">
      <c r="A253" s="24" t="s">
        <v>296</v>
      </c>
      <c r="B253" s="24" t="s">
        <v>297</v>
      </c>
      <c r="C253" s="24" t="s">
        <v>297</v>
      </c>
      <c r="D253" s="24" t="s">
        <v>297</v>
      </c>
      <c r="E253" s="24" t="s">
        <v>297</v>
      </c>
      <c r="F253" s="24" t="s">
        <v>297</v>
      </c>
      <c r="G253" s="24" t="s">
        <v>297</v>
      </c>
      <c r="H253" s="24" t="s">
        <v>297</v>
      </c>
      <c r="I253" s="186" t="s">
        <v>297</v>
      </c>
      <c r="J253" s="187" t="s">
        <v>965</v>
      </c>
      <c r="K253" s="5" t="s">
        <v>833</v>
      </c>
      <c r="L253" s="5"/>
      <c r="M253" s="5" t="s">
        <v>383</v>
      </c>
      <c r="N253" s="5"/>
      <c r="O253" s="5"/>
      <c r="P253" s="291">
        <v>1923</v>
      </c>
      <c r="Q253" s="91"/>
      <c r="R253" s="91"/>
      <c r="S253" s="91"/>
      <c r="T253" s="91"/>
      <c r="U253" s="91"/>
      <c r="V253" s="99">
        <f t="shared" si="6"/>
        <v>1923</v>
      </c>
      <c r="W253" s="34"/>
      <c r="X253" s="34" t="s">
        <v>296</v>
      </c>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5"/>
    </row>
    <row r="254" spans="1:53" ht="15" thickBot="1" x14ac:dyDescent="0.4">
      <c r="A254" s="24" t="s">
        <v>296</v>
      </c>
      <c r="B254" s="24" t="s">
        <v>297</v>
      </c>
      <c r="C254" s="24" t="s">
        <v>297</v>
      </c>
      <c r="D254" s="24" t="s">
        <v>297</v>
      </c>
      <c r="E254" s="24" t="s">
        <v>297</v>
      </c>
      <c r="F254" s="24" t="s">
        <v>297</v>
      </c>
      <c r="G254" s="24" t="s">
        <v>297</v>
      </c>
      <c r="H254" s="24" t="s">
        <v>297</v>
      </c>
      <c r="I254" s="186" t="s">
        <v>297</v>
      </c>
      <c r="J254" s="187" t="s">
        <v>965</v>
      </c>
      <c r="K254" s="5" t="s">
        <v>834</v>
      </c>
      <c r="L254" s="5"/>
      <c r="M254" s="5" t="s">
        <v>383</v>
      </c>
      <c r="N254" s="5"/>
      <c r="O254" s="5"/>
      <c r="P254" s="291">
        <v>2547</v>
      </c>
      <c r="Q254" s="91"/>
      <c r="R254" s="91"/>
      <c r="S254" s="91"/>
      <c r="T254" s="91"/>
      <c r="U254" s="91"/>
      <c r="V254" s="99">
        <f t="shared" si="6"/>
        <v>2547</v>
      </c>
      <c r="W254" s="34"/>
      <c r="X254" s="34" t="s">
        <v>296</v>
      </c>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5"/>
    </row>
    <row r="255" spans="1:53" ht="15" thickBot="1" x14ac:dyDescent="0.4">
      <c r="A255" s="24" t="s">
        <v>296</v>
      </c>
      <c r="B255" s="24" t="s">
        <v>297</v>
      </c>
      <c r="C255" s="24" t="s">
        <v>297</v>
      </c>
      <c r="D255" s="24" t="s">
        <v>297</v>
      </c>
      <c r="E255" s="24" t="s">
        <v>297</v>
      </c>
      <c r="F255" s="24" t="s">
        <v>297</v>
      </c>
      <c r="G255" s="24" t="s">
        <v>297</v>
      </c>
      <c r="H255" s="24" t="s">
        <v>297</v>
      </c>
      <c r="I255" s="186" t="s">
        <v>297</v>
      </c>
      <c r="J255" s="187" t="s">
        <v>965</v>
      </c>
      <c r="K255" s="5" t="s">
        <v>835</v>
      </c>
      <c r="L255" s="5"/>
      <c r="M255" s="5" t="s">
        <v>383</v>
      </c>
      <c r="N255" s="5"/>
      <c r="O255" s="5"/>
      <c r="P255" s="291">
        <v>1624</v>
      </c>
      <c r="Q255" s="91"/>
      <c r="R255" s="91"/>
      <c r="S255" s="91"/>
      <c r="T255" s="91"/>
      <c r="U255" s="91"/>
      <c r="V255" s="99">
        <f t="shared" si="6"/>
        <v>1624</v>
      </c>
      <c r="W255" s="34"/>
      <c r="X255" s="34" t="s">
        <v>296</v>
      </c>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5"/>
    </row>
    <row r="256" spans="1:53" ht="15" thickBot="1" x14ac:dyDescent="0.4">
      <c r="A256" s="24" t="s">
        <v>296</v>
      </c>
      <c r="B256" s="24" t="s">
        <v>297</v>
      </c>
      <c r="C256" s="24" t="s">
        <v>297</v>
      </c>
      <c r="D256" s="24" t="s">
        <v>297</v>
      </c>
      <c r="E256" s="24" t="s">
        <v>297</v>
      </c>
      <c r="F256" s="24" t="s">
        <v>297</v>
      </c>
      <c r="G256" s="24" t="s">
        <v>297</v>
      </c>
      <c r="H256" s="24" t="s">
        <v>297</v>
      </c>
      <c r="I256" s="186" t="s">
        <v>297</v>
      </c>
      <c r="J256" s="187" t="s">
        <v>965</v>
      </c>
      <c r="K256" s="5" t="s">
        <v>836</v>
      </c>
      <c r="L256" s="5"/>
      <c r="M256" s="5" t="s">
        <v>383</v>
      </c>
      <c r="N256" s="5"/>
      <c r="O256" s="5"/>
      <c r="P256" s="291">
        <v>1487</v>
      </c>
      <c r="Q256" s="91"/>
      <c r="R256" s="91"/>
      <c r="S256" s="91"/>
      <c r="T256" s="91"/>
      <c r="U256" s="91"/>
      <c r="V256" s="99">
        <f t="shared" si="6"/>
        <v>1487</v>
      </c>
      <c r="W256" s="34"/>
      <c r="X256" s="34" t="s">
        <v>296</v>
      </c>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5"/>
    </row>
    <row r="257" spans="1:53" ht="15" thickBot="1" x14ac:dyDescent="0.4">
      <c r="A257" s="24" t="s">
        <v>296</v>
      </c>
      <c r="B257" s="24" t="s">
        <v>297</v>
      </c>
      <c r="C257" s="24" t="s">
        <v>297</v>
      </c>
      <c r="D257" s="24" t="s">
        <v>297</v>
      </c>
      <c r="E257" s="24" t="s">
        <v>297</v>
      </c>
      <c r="F257" s="24" t="s">
        <v>297</v>
      </c>
      <c r="G257" s="24" t="s">
        <v>297</v>
      </c>
      <c r="H257" s="24" t="s">
        <v>297</v>
      </c>
      <c r="I257" s="186" t="s">
        <v>297</v>
      </c>
      <c r="J257" s="187" t="s">
        <v>965</v>
      </c>
      <c r="K257" s="5" t="s">
        <v>837</v>
      </c>
      <c r="L257" s="5"/>
      <c r="M257" s="5" t="s">
        <v>383</v>
      </c>
      <c r="N257" s="5"/>
      <c r="O257" s="5"/>
      <c r="P257" s="291">
        <v>1425</v>
      </c>
      <c r="Q257" s="91"/>
      <c r="R257" s="91"/>
      <c r="S257" s="91"/>
      <c r="T257" s="91"/>
      <c r="U257" s="91"/>
      <c r="V257" s="99">
        <f t="shared" si="6"/>
        <v>1425</v>
      </c>
      <c r="W257" s="34"/>
      <c r="X257" s="34" t="s">
        <v>296</v>
      </c>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5"/>
    </row>
    <row r="258" spans="1:53" ht="15" thickBot="1" x14ac:dyDescent="0.4">
      <c r="A258" s="24" t="s">
        <v>296</v>
      </c>
      <c r="B258" s="24" t="s">
        <v>297</v>
      </c>
      <c r="C258" s="24" t="s">
        <v>297</v>
      </c>
      <c r="D258" s="24" t="s">
        <v>297</v>
      </c>
      <c r="E258" s="24" t="s">
        <v>297</v>
      </c>
      <c r="F258" s="24" t="s">
        <v>297</v>
      </c>
      <c r="G258" s="24" t="s">
        <v>297</v>
      </c>
      <c r="H258" s="24" t="s">
        <v>297</v>
      </c>
      <c r="I258" s="186" t="s">
        <v>297</v>
      </c>
      <c r="J258" s="187" t="s">
        <v>965</v>
      </c>
      <c r="K258" s="5" t="s">
        <v>838</v>
      </c>
      <c r="L258" s="5"/>
      <c r="M258" s="5" t="s">
        <v>383</v>
      </c>
      <c r="N258" s="5"/>
      <c r="O258" s="5"/>
      <c r="P258" s="291">
        <v>1674</v>
      </c>
      <c r="Q258" s="91"/>
      <c r="R258" s="91"/>
      <c r="S258" s="91"/>
      <c r="T258" s="91"/>
      <c r="U258" s="91"/>
      <c r="V258" s="99">
        <f t="shared" si="6"/>
        <v>1674</v>
      </c>
      <c r="W258" s="34"/>
      <c r="X258" s="34" t="s">
        <v>296</v>
      </c>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5"/>
    </row>
    <row r="259" spans="1:53" ht="15" thickBot="1" x14ac:dyDescent="0.4">
      <c r="A259" s="24" t="s">
        <v>296</v>
      </c>
      <c r="B259" s="24" t="s">
        <v>297</v>
      </c>
      <c r="C259" s="24" t="s">
        <v>297</v>
      </c>
      <c r="D259" s="24" t="s">
        <v>297</v>
      </c>
      <c r="E259" s="24" t="s">
        <v>297</v>
      </c>
      <c r="F259" s="24" t="s">
        <v>297</v>
      </c>
      <c r="G259" s="24" t="s">
        <v>297</v>
      </c>
      <c r="H259" s="24" t="s">
        <v>297</v>
      </c>
      <c r="I259" s="186" t="s">
        <v>297</v>
      </c>
      <c r="J259" s="187" t="s">
        <v>965</v>
      </c>
      <c r="K259" s="5" t="s">
        <v>839</v>
      </c>
      <c r="L259" s="5"/>
      <c r="M259" s="5" t="s">
        <v>383</v>
      </c>
      <c r="N259" s="5"/>
      <c r="O259" s="5"/>
      <c r="P259" s="291">
        <v>3257</v>
      </c>
      <c r="Q259" s="91"/>
      <c r="R259" s="91"/>
      <c r="S259" s="91"/>
      <c r="T259" s="91"/>
      <c r="U259" s="91"/>
      <c r="V259" s="99">
        <f t="shared" si="6"/>
        <v>3257</v>
      </c>
      <c r="W259" s="34"/>
      <c r="X259" s="34" t="s">
        <v>296</v>
      </c>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5"/>
    </row>
    <row r="260" spans="1:53" ht="15" thickBot="1" x14ac:dyDescent="0.4">
      <c r="A260" s="24" t="s">
        <v>296</v>
      </c>
      <c r="B260" s="24" t="s">
        <v>297</v>
      </c>
      <c r="C260" s="24" t="s">
        <v>297</v>
      </c>
      <c r="D260" s="24" t="s">
        <v>297</v>
      </c>
      <c r="E260" s="24" t="s">
        <v>297</v>
      </c>
      <c r="F260" s="24" t="s">
        <v>297</v>
      </c>
      <c r="G260" s="24" t="s">
        <v>297</v>
      </c>
      <c r="H260" s="24" t="s">
        <v>297</v>
      </c>
      <c r="I260" s="186" t="s">
        <v>297</v>
      </c>
      <c r="J260" s="187" t="s">
        <v>965</v>
      </c>
      <c r="K260" s="5" t="s">
        <v>840</v>
      </c>
      <c r="L260" s="5"/>
      <c r="M260" s="5" t="s">
        <v>383</v>
      </c>
      <c r="N260" s="5"/>
      <c r="O260" s="5"/>
      <c r="P260" s="291">
        <v>1485</v>
      </c>
      <c r="Q260" s="91"/>
      <c r="R260" s="91"/>
      <c r="S260" s="91"/>
      <c r="T260" s="91"/>
      <c r="U260" s="91"/>
      <c r="V260" s="99">
        <f t="shared" si="6"/>
        <v>1485</v>
      </c>
      <c r="W260" s="34"/>
      <c r="X260" s="34" t="s">
        <v>296</v>
      </c>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5"/>
    </row>
    <row r="261" spans="1:53" ht="15" thickBot="1" x14ac:dyDescent="0.4">
      <c r="A261" s="24" t="s">
        <v>296</v>
      </c>
      <c r="B261" s="24" t="s">
        <v>297</v>
      </c>
      <c r="C261" s="24" t="s">
        <v>297</v>
      </c>
      <c r="D261" s="24" t="s">
        <v>297</v>
      </c>
      <c r="E261" s="24" t="s">
        <v>297</v>
      </c>
      <c r="F261" s="24" t="s">
        <v>297</v>
      </c>
      <c r="G261" s="24" t="s">
        <v>297</v>
      </c>
      <c r="H261" s="24" t="s">
        <v>297</v>
      </c>
      <c r="I261" s="186" t="s">
        <v>297</v>
      </c>
      <c r="J261" s="187" t="s">
        <v>965</v>
      </c>
      <c r="K261" s="5" t="s">
        <v>841</v>
      </c>
      <c r="L261" s="5"/>
      <c r="M261" s="5" t="s">
        <v>383</v>
      </c>
      <c r="N261" s="5"/>
      <c r="O261" s="5"/>
      <c r="P261" s="291">
        <v>1474</v>
      </c>
      <c r="Q261" s="91"/>
      <c r="R261" s="91"/>
      <c r="S261" s="91"/>
      <c r="T261" s="91"/>
      <c r="U261" s="91"/>
      <c r="V261" s="99">
        <f t="shared" si="6"/>
        <v>1474</v>
      </c>
      <c r="W261" s="34"/>
      <c r="X261" s="34" t="s">
        <v>296</v>
      </c>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5"/>
    </row>
    <row r="262" spans="1:53" ht="15" thickBot="1" x14ac:dyDescent="0.4">
      <c r="A262" s="24" t="s">
        <v>296</v>
      </c>
      <c r="B262" s="24" t="s">
        <v>297</v>
      </c>
      <c r="C262" s="24" t="s">
        <v>297</v>
      </c>
      <c r="D262" s="24" t="s">
        <v>297</v>
      </c>
      <c r="E262" s="24" t="s">
        <v>297</v>
      </c>
      <c r="F262" s="24" t="s">
        <v>297</v>
      </c>
      <c r="G262" s="24" t="s">
        <v>297</v>
      </c>
      <c r="H262" s="24" t="s">
        <v>297</v>
      </c>
      <c r="I262" s="186" t="s">
        <v>297</v>
      </c>
      <c r="J262" s="187" t="s">
        <v>965</v>
      </c>
      <c r="K262" s="5" t="s">
        <v>842</v>
      </c>
      <c r="L262" s="5"/>
      <c r="M262" s="5" t="s">
        <v>383</v>
      </c>
      <c r="N262" s="5"/>
      <c r="O262" s="5"/>
      <c r="P262" s="291">
        <v>1924</v>
      </c>
      <c r="Q262" s="91"/>
      <c r="R262" s="91"/>
      <c r="S262" s="91"/>
      <c r="T262" s="91"/>
      <c r="U262" s="91"/>
      <c r="V262" s="99">
        <f t="shared" si="6"/>
        <v>1924</v>
      </c>
      <c r="W262" s="34"/>
      <c r="X262" s="34" t="s">
        <v>296</v>
      </c>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5"/>
    </row>
    <row r="263" spans="1:53" ht="15" thickBot="1" x14ac:dyDescent="0.4">
      <c r="A263" s="24" t="s">
        <v>296</v>
      </c>
      <c r="B263" s="24" t="s">
        <v>297</v>
      </c>
      <c r="C263" s="24" t="s">
        <v>297</v>
      </c>
      <c r="D263" s="24" t="s">
        <v>297</v>
      </c>
      <c r="E263" s="24" t="s">
        <v>297</v>
      </c>
      <c r="F263" s="24" t="s">
        <v>297</v>
      </c>
      <c r="G263" s="24" t="s">
        <v>297</v>
      </c>
      <c r="H263" s="24" t="s">
        <v>297</v>
      </c>
      <c r="I263" s="186" t="s">
        <v>297</v>
      </c>
      <c r="J263" s="187" t="s">
        <v>965</v>
      </c>
      <c r="K263" s="5" t="s">
        <v>843</v>
      </c>
      <c r="L263" s="5"/>
      <c r="M263" s="5" t="s">
        <v>383</v>
      </c>
      <c r="N263" s="5"/>
      <c r="O263" s="5"/>
      <c r="P263" s="291">
        <v>2048</v>
      </c>
      <c r="Q263" s="91"/>
      <c r="R263" s="91"/>
      <c r="S263" s="91"/>
      <c r="T263" s="91"/>
      <c r="U263" s="91"/>
      <c r="V263" s="99">
        <f t="shared" si="6"/>
        <v>2048</v>
      </c>
      <c r="W263" s="34"/>
      <c r="X263" s="34" t="s">
        <v>296</v>
      </c>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5"/>
    </row>
    <row r="264" spans="1:53" ht="15" thickBot="1" x14ac:dyDescent="0.4">
      <c r="A264" s="24" t="s">
        <v>296</v>
      </c>
      <c r="B264" s="24" t="s">
        <v>297</v>
      </c>
      <c r="C264" s="24" t="s">
        <v>297</v>
      </c>
      <c r="D264" s="24" t="s">
        <v>297</v>
      </c>
      <c r="E264" s="24" t="s">
        <v>297</v>
      </c>
      <c r="F264" s="24" t="s">
        <v>297</v>
      </c>
      <c r="G264" s="24" t="s">
        <v>297</v>
      </c>
      <c r="H264" s="24" t="s">
        <v>297</v>
      </c>
      <c r="I264" s="186" t="s">
        <v>297</v>
      </c>
      <c r="J264" s="187" t="s">
        <v>965</v>
      </c>
      <c r="K264" s="5" t="s">
        <v>844</v>
      </c>
      <c r="L264" s="5"/>
      <c r="M264" s="5" t="s">
        <v>383</v>
      </c>
      <c r="N264" s="5"/>
      <c r="O264" s="5"/>
      <c r="P264" s="291">
        <v>1555</v>
      </c>
      <c r="Q264" s="91"/>
      <c r="R264" s="91"/>
      <c r="S264" s="91"/>
      <c r="T264" s="91"/>
      <c r="U264" s="91"/>
      <c r="V264" s="99">
        <f t="shared" si="6"/>
        <v>1555</v>
      </c>
      <c r="W264" s="34"/>
      <c r="X264" s="34" t="s">
        <v>296</v>
      </c>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5"/>
    </row>
    <row r="265" spans="1:53" ht="15" thickBot="1" x14ac:dyDescent="0.4">
      <c r="A265" s="24" t="s">
        <v>296</v>
      </c>
      <c r="B265" s="24" t="s">
        <v>297</v>
      </c>
      <c r="C265" s="24" t="s">
        <v>297</v>
      </c>
      <c r="D265" s="24" t="s">
        <v>297</v>
      </c>
      <c r="E265" s="24" t="s">
        <v>297</v>
      </c>
      <c r="F265" s="24" t="s">
        <v>297</v>
      </c>
      <c r="G265" s="24" t="s">
        <v>297</v>
      </c>
      <c r="H265" s="24" t="s">
        <v>297</v>
      </c>
      <c r="I265" s="186" t="s">
        <v>297</v>
      </c>
      <c r="J265" s="187" t="s">
        <v>965</v>
      </c>
      <c r="K265" s="5" t="s">
        <v>845</v>
      </c>
      <c r="L265" s="5"/>
      <c r="M265" s="5" t="s">
        <v>383</v>
      </c>
      <c r="N265" s="5"/>
      <c r="O265" s="5"/>
      <c r="P265" s="291">
        <v>1659</v>
      </c>
      <c r="Q265" s="91"/>
      <c r="R265" s="91"/>
      <c r="S265" s="91"/>
      <c r="T265" s="91"/>
      <c r="U265" s="91"/>
      <c r="V265" s="99">
        <f t="shared" si="6"/>
        <v>1659</v>
      </c>
      <c r="W265" s="34"/>
      <c r="X265" s="34" t="s">
        <v>296</v>
      </c>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5"/>
    </row>
    <row r="266" spans="1:53" ht="15" thickBot="1" x14ac:dyDescent="0.4">
      <c r="A266" s="24" t="s">
        <v>296</v>
      </c>
      <c r="B266" s="24" t="s">
        <v>297</v>
      </c>
      <c r="C266" s="24" t="s">
        <v>297</v>
      </c>
      <c r="D266" s="24" t="s">
        <v>297</v>
      </c>
      <c r="E266" s="24" t="s">
        <v>297</v>
      </c>
      <c r="F266" s="24" t="s">
        <v>297</v>
      </c>
      <c r="G266" s="24" t="s">
        <v>297</v>
      </c>
      <c r="H266" s="24" t="s">
        <v>297</v>
      </c>
      <c r="I266" s="186" t="s">
        <v>297</v>
      </c>
      <c r="J266" s="187" t="s">
        <v>965</v>
      </c>
      <c r="K266" s="5" t="s">
        <v>846</v>
      </c>
      <c r="L266" s="5"/>
      <c r="M266" s="5" t="s">
        <v>383</v>
      </c>
      <c r="N266" s="5"/>
      <c r="O266" s="5"/>
      <c r="P266" s="291">
        <v>2172</v>
      </c>
      <c r="Q266" s="91"/>
      <c r="R266" s="91"/>
      <c r="S266" s="91"/>
      <c r="T266" s="91"/>
      <c r="U266" s="91"/>
      <c r="V266" s="99">
        <f t="shared" si="6"/>
        <v>2172</v>
      </c>
      <c r="W266" s="34"/>
      <c r="X266" s="34" t="s">
        <v>296</v>
      </c>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5"/>
    </row>
    <row r="267" spans="1:53" ht="15" thickBot="1" x14ac:dyDescent="0.4">
      <c r="A267" s="24" t="s">
        <v>296</v>
      </c>
      <c r="B267" s="24" t="s">
        <v>297</v>
      </c>
      <c r="C267" s="24" t="s">
        <v>297</v>
      </c>
      <c r="D267" s="24" t="s">
        <v>297</v>
      </c>
      <c r="E267" s="24" t="s">
        <v>297</v>
      </c>
      <c r="F267" s="24" t="s">
        <v>297</v>
      </c>
      <c r="G267" s="24" t="s">
        <v>297</v>
      </c>
      <c r="H267" s="24" t="s">
        <v>297</v>
      </c>
      <c r="I267" s="186" t="s">
        <v>297</v>
      </c>
      <c r="J267" s="187" t="s">
        <v>965</v>
      </c>
      <c r="K267" s="5" t="s">
        <v>847</v>
      </c>
      <c r="L267" s="5"/>
      <c r="M267" s="5" t="s">
        <v>383</v>
      </c>
      <c r="N267" s="5"/>
      <c r="O267" s="5"/>
      <c r="P267" s="291">
        <v>1945</v>
      </c>
      <c r="Q267" s="91"/>
      <c r="R267" s="91"/>
      <c r="S267" s="91"/>
      <c r="T267" s="91"/>
      <c r="U267" s="91"/>
      <c r="V267" s="99">
        <f t="shared" si="6"/>
        <v>1945</v>
      </c>
      <c r="W267" s="34"/>
      <c r="X267" s="34" t="s">
        <v>296</v>
      </c>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5"/>
    </row>
    <row r="268" spans="1:53" ht="15" thickBot="1" x14ac:dyDescent="0.4">
      <c r="A268" s="24" t="s">
        <v>296</v>
      </c>
      <c r="B268" s="24" t="s">
        <v>297</v>
      </c>
      <c r="C268" s="24" t="s">
        <v>297</v>
      </c>
      <c r="D268" s="24" t="s">
        <v>297</v>
      </c>
      <c r="E268" s="24" t="s">
        <v>297</v>
      </c>
      <c r="F268" s="24" t="s">
        <v>297</v>
      </c>
      <c r="G268" s="24" t="s">
        <v>297</v>
      </c>
      <c r="H268" s="24" t="s">
        <v>297</v>
      </c>
      <c r="I268" s="186" t="s">
        <v>297</v>
      </c>
      <c r="J268" s="187" t="s">
        <v>965</v>
      </c>
      <c r="K268" s="5" t="s">
        <v>848</v>
      </c>
      <c r="L268" s="5"/>
      <c r="M268" s="5" t="s">
        <v>383</v>
      </c>
      <c r="N268" s="5"/>
      <c r="O268" s="5"/>
      <c r="P268" s="291">
        <v>1375</v>
      </c>
      <c r="Q268" s="91"/>
      <c r="R268" s="91"/>
      <c r="S268" s="91"/>
      <c r="T268" s="91"/>
      <c r="U268" s="91"/>
      <c r="V268" s="99">
        <f t="shared" si="6"/>
        <v>1375</v>
      </c>
      <c r="W268" s="34"/>
      <c r="X268" s="34" t="s">
        <v>296</v>
      </c>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5"/>
    </row>
    <row r="269" spans="1:53" ht="15" thickBot="1" x14ac:dyDescent="0.4">
      <c r="A269" s="24" t="s">
        <v>296</v>
      </c>
      <c r="B269" s="24" t="s">
        <v>297</v>
      </c>
      <c r="C269" s="24" t="s">
        <v>297</v>
      </c>
      <c r="D269" s="24" t="s">
        <v>297</v>
      </c>
      <c r="E269" s="24" t="s">
        <v>297</v>
      </c>
      <c r="F269" s="24" t="s">
        <v>297</v>
      </c>
      <c r="G269" s="24" t="s">
        <v>297</v>
      </c>
      <c r="H269" s="24" t="s">
        <v>297</v>
      </c>
      <c r="I269" s="186" t="s">
        <v>297</v>
      </c>
      <c r="J269" s="187" t="s">
        <v>965</v>
      </c>
      <c r="K269" s="5" t="s">
        <v>849</v>
      </c>
      <c r="L269" s="5"/>
      <c r="M269" s="5" t="s">
        <v>383</v>
      </c>
      <c r="N269" s="5"/>
      <c r="O269" s="5"/>
      <c r="P269" s="291">
        <v>1274</v>
      </c>
      <c r="Q269" s="91"/>
      <c r="R269" s="91"/>
      <c r="S269" s="91"/>
      <c r="T269" s="91"/>
      <c r="U269" s="91"/>
      <c r="V269" s="99">
        <f t="shared" si="6"/>
        <v>1274</v>
      </c>
      <c r="W269" s="34"/>
      <c r="X269" s="34" t="s">
        <v>296</v>
      </c>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5"/>
    </row>
    <row r="270" spans="1:53" ht="15" thickBot="1" x14ac:dyDescent="0.4">
      <c r="A270" s="24" t="s">
        <v>296</v>
      </c>
      <c r="B270" s="24" t="s">
        <v>297</v>
      </c>
      <c r="C270" s="24" t="s">
        <v>297</v>
      </c>
      <c r="D270" s="24" t="s">
        <v>297</v>
      </c>
      <c r="E270" s="24" t="s">
        <v>297</v>
      </c>
      <c r="F270" s="24" t="s">
        <v>297</v>
      </c>
      <c r="G270" s="24" t="s">
        <v>297</v>
      </c>
      <c r="H270" s="24" t="s">
        <v>297</v>
      </c>
      <c r="I270" s="186" t="s">
        <v>297</v>
      </c>
      <c r="J270" s="187" t="s">
        <v>965</v>
      </c>
      <c r="K270" s="5" t="s">
        <v>850</v>
      </c>
      <c r="L270" s="5"/>
      <c r="M270" s="5" t="s">
        <v>383</v>
      </c>
      <c r="N270" s="5"/>
      <c r="O270" s="5"/>
      <c r="P270" s="291">
        <v>1468</v>
      </c>
      <c r="Q270" s="91"/>
      <c r="R270" s="91"/>
      <c r="S270" s="91"/>
      <c r="T270" s="91"/>
      <c r="U270" s="91"/>
      <c r="V270" s="99">
        <f t="shared" si="6"/>
        <v>1468</v>
      </c>
      <c r="W270" s="34"/>
      <c r="X270" s="34" t="s">
        <v>296</v>
      </c>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5"/>
    </row>
    <row r="271" spans="1:53" ht="15" thickBot="1" x14ac:dyDescent="0.4">
      <c r="A271" s="24" t="s">
        <v>296</v>
      </c>
      <c r="B271" s="24" t="s">
        <v>297</v>
      </c>
      <c r="C271" s="24" t="s">
        <v>297</v>
      </c>
      <c r="D271" s="24" t="s">
        <v>297</v>
      </c>
      <c r="E271" s="24" t="s">
        <v>297</v>
      </c>
      <c r="F271" s="24" t="s">
        <v>297</v>
      </c>
      <c r="G271" s="24" t="s">
        <v>297</v>
      </c>
      <c r="H271" s="24" t="s">
        <v>297</v>
      </c>
      <c r="I271" s="186" t="s">
        <v>297</v>
      </c>
      <c r="J271" s="187" t="s">
        <v>965</v>
      </c>
      <c r="K271" s="5" t="s">
        <v>851</v>
      </c>
      <c r="L271" s="5"/>
      <c r="M271" s="5" t="s">
        <v>383</v>
      </c>
      <c r="N271" s="5"/>
      <c r="O271" s="5"/>
      <c r="P271" s="291">
        <v>544</v>
      </c>
      <c r="Q271" s="91"/>
      <c r="R271" s="91"/>
      <c r="S271" s="91"/>
      <c r="T271" s="91"/>
      <c r="U271" s="91"/>
      <c r="V271" s="99">
        <f t="shared" si="6"/>
        <v>544</v>
      </c>
      <c r="W271" s="34"/>
      <c r="X271" s="34" t="s">
        <v>296</v>
      </c>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5"/>
    </row>
    <row r="272" spans="1:53" ht="15" thickBot="1" x14ac:dyDescent="0.4">
      <c r="A272" s="24" t="s">
        <v>296</v>
      </c>
      <c r="B272" s="24" t="s">
        <v>297</v>
      </c>
      <c r="C272" s="24" t="s">
        <v>297</v>
      </c>
      <c r="D272" s="24" t="s">
        <v>297</v>
      </c>
      <c r="E272" s="24" t="s">
        <v>297</v>
      </c>
      <c r="F272" s="24" t="s">
        <v>297</v>
      </c>
      <c r="G272" s="24" t="s">
        <v>297</v>
      </c>
      <c r="H272" s="24" t="s">
        <v>297</v>
      </c>
      <c r="I272" s="186" t="s">
        <v>297</v>
      </c>
      <c r="J272" s="187" t="s">
        <v>965</v>
      </c>
      <c r="K272" s="5" t="s">
        <v>852</v>
      </c>
      <c r="L272" s="5"/>
      <c r="M272" s="5" t="s">
        <v>383</v>
      </c>
      <c r="N272" s="5"/>
      <c r="O272" s="5"/>
      <c r="P272" s="291">
        <v>975</v>
      </c>
      <c r="Q272" s="91"/>
      <c r="R272" s="91"/>
      <c r="S272" s="91"/>
      <c r="T272" s="91"/>
      <c r="U272" s="91"/>
      <c r="V272" s="99">
        <f t="shared" si="6"/>
        <v>975</v>
      </c>
      <c r="W272" s="34"/>
      <c r="X272" s="34" t="s">
        <v>296</v>
      </c>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5"/>
    </row>
    <row r="273" spans="1:53" ht="15" thickBot="1" x14ac:dyDescent="0.4">
      <c r="A273" s="24" t="s">
        <v>296</v>
      </c>
      <c r="B273" s="24" t="s">
        <v>297</v>
      </c>
      <c r="C273" s="24" t="s">
        <v>297</v>
      </c>
      <c r="D273" s="24" t="s">
        <v>297</v>
      </c>
      <c r="E273" s="24" t="s">
        <v>297</v>
      </c>
      <c r="F273" s="24" t="s">
        <v>297</v>
      </c>
      <c r="G273" s="24" t="s">
        <v>297</v>
      </c>
      <c r="H273" s="24" t="s">
        <v>297</v>
      </c>
      <c r="I273" s="186" t="s">
        <v>297</v>
      </c>
      <c r="J273" s="187" t="s">
        <v>965</v>
      </c>
      <c r="K273" s="5" t="s">
        <v>853</v>
      </c>
      <c r="L273" s="5"/>
      <c r="M273" s="5" t="s">
        <v>383</v>
      </c>
      <c r="N273" s="5"/>
      <c r="O273" s="5"/>
      <c r="P273" s="291">
        <v>2127</v>
      </c>
      <c r="Q273" s="91"/>
      <c r="R273" s="91"/>
      <c r="S273" s="91"/>
      <c r="T273" s="91"/>
      <c r="U273" s="91"/>
      <c r="V273" s="99">
        <f t="shared" si="6"/>
        <v>2127</v>
      </c>
      <c r="W273" s="34"/>
      <c r="X273" s="34" t="s">
        <v>296</v>
      </c>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5"/>
    </row>
    <row r="274" spans="1:53" ht="15" thickBot="1" x14ac:dyDescent="0.4">
      <c r="A274" s="24" t="s">
        <v>296</v>
      </c>
      <c r="B274" s="24" t="s">
        <v>297</v>
      </c>
      <c r="C274" s="24" t="s">
        <v>297</v>
      </c>
      <c r="D274" s="24" t="s">
        <v>297</v>
      </c>
      <c r="E274" s="24" t="s">
        <v>297</v>
      </c>
      <c r="F274" s="24" t="s">
        <v>297</v>
      </c>
      <c r="G274" s="24" t="s">
        <v>297</v>
      </c>
      <c r="H274" s="24" t="s">
        <v>297</v>
      </c>
      <c r="I274" s="186" t="s">
        <v>297</v>
      </c>
      <c r="J274" s="187" t="s">
        <v>965</v>
      </c>
      <c r="K274" s="5" t="s">
        <v>854</v>
      </c>
      <c r="L274" s="5"/>
      <c r="M274" s="5" t="s">
        <v>383</v>
      </c>
      <c r="N274" s="5"/>
      <c r="O274" s="5"/>
      <c r="P274" s="291">
        <v>2742</v>
      </c>
      <c r="Q274" s="91"/>
      <c r="R274" s="91"/>
      <c r="S274" s="91"/>
      <c r="T274" s="91"/>
      <c r="U274" s="91"/>
      <c r="V274" s="99">
        <f t="shared" ref="V274:V337" si="7">ROUND(SUM(P274:U274),3)</f>
        <v>2742</v>
      </c>
      <c r="W274" s="34"/>
      <c r="X274" s="34" t="s">
        <v>296</v>
      </c>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5"/>
    </row>
    <row r="275" spans="1:53" ht="15" thickBot="1" x14ac:dyDescent="0.4">
      <c r="A275" s="24" t="s">
        <v>296</v>
      </c>
      <c r="B275" s="24" t="s">
        <v>297</v>
      </c>
      <c r="C275" s="24" t="s">
        <v>297</v>
      </c>
      <c r="D275" s="24" t="s">
        <v>297</v>
      </c>
      <c r="E275" s="24" t="s">
        <v>297</v>
      </c>
      <c r="F275" s="24" t="s">
        <v>297</v>
      </c>
      <c r="G275" s="24" t="s">
        <v>297</v>
      </c>
      <c r="H275" s="24" t="s">
        <v>297</v>
      </c>
      <c r="I275" s="186" t="s">
        <v>297</v>
      </c>
      <c r="J275" s="187" t="s">
        <v>965</v>
      </c>
      <c r="K275" s="5" t="s">
        <v>855</v>
      </c>
      <c r="L275" s="5"/>
      <c r="M275" s="5" t="s">
        <v>383</v>
      </c>
      <c r="N275" s="5"/>
      <c r="O275" s="5"/>
      <c r="P275" s="291">
        <v>1643</v>
      </c>
      <c r="Q275" s="91"/>
      <c r="R275" s="91"/>
      <c r="S275" s="91"/>
      <c r="T275" s="91"/>
      <c r="U275" s="91"/>
      <c r="V275" s="99">
        <f t="shared" si="7"/>
        <v>1643</v>
      </c>
      <c r="W275" s="34"/>
      <c r="X275" s="34" t="s">
        <v>296</v>
      </c>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5"/>
    </row>
    <row r="276" spans="1:53" ht="15" thickBot="1" x14ac:dyDescent="0.4">
      <c r="A276" s="24" t="s">
        <v>296</v>
      </c>
      <c r="B276" s="24" t="s">
        <v>297</v>
      </c>
      <c r="C276" s="24" t="s">
        <v>297</v>
      </c>
      <c r="D276" s="24" t="s">
        <v>297</v>
      </c>
      <c r="E276" s="24" t="s">
        <v>297</v>
      </c>
      <c r="F276" s="24" t="s">
        <v>297</v>
      </c>
      <c r="G276" s="24" t="s">
        <v>297</v>
      </c>
      <c r="H276" s="24" t="s">
        <v>297</v>
      </c>
      <c r="I276" s="186" t="s">
        <v>297</v>
      </c>
      <c r="J276" s="187" t="s">
        <v>965</v>
      </c>
      <c r="K276" s="5" t="s">
        <v>856</v>
      </c>
      <c r="L276" s="5"/>
      <c r="M276" s="5" t="s">
        <v>383</v>
      </c>
      <c r="N276" s="5"/>
      <c r="O276" s="5"/>
      <c r="P276" s="291">
        <v>1693</v>
      </c>
      <c r="Q276" s="91"/>
      <c r="R276" s="91"/>
      <c r="S276" s="91"/>
      <c r="T276" s="91"/>
      <c r="U276" s="91"/>
      <c r="V276" s="99">
        <f t="shared" si="7"/>
        <v>1693</v>
      </c>
      <c r="W276" s="34"/>
      <c r="X276" s="34" t="s">
        <v>296</v>
      </c>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5"/>
    </row>
    <row r="277" spans="1:53" ht="15" thickBot="1" x14ac:dyDescent="0.4">
      <c r="A277" s="24" t="s">
        <v>296</v>
      </c>
      <c r="B277" s="24" t="s">
        <v>297</v>
      </c>
      <c r="C277" s="24" t="s">
        <v>297</v>
      </c>
      <c r="D277" s="24" t="s">
        <v>297</v>
      </c>
      <c r="E277" s="24" t="s">
        <v>297</v>
      </c>
      <c r="F277" s="24" t="s">
        <v>297</v>
      </c>
      <c r="G277" s="24" t="s">
        <v>297</v>
      </c>
      <c r="H277" s="24" t="s">
        <v>297</v>
      </c>
      <c r="I277" s="186" t="s">
        <v>297</v>
      </c>
      <c r="J277" s="187" t="s">
        <v>965</v>
      </c>
      <c r="K277" s="5" t="s">
        <v>857</v>
      </c>
      <c r="L277" s="5"/>
      <c r="M277" s="5" t="s">
        <v>383</v>
      </c>
      <c r="N277" s="5"/>
      <c r="O277" s="5"/>
      <c r="P277" s="291">
        <v>2688</v>
      </c>
      <c r="Q277" s="91"/>
      <c r="R277" s="91"/>
      <c r="S277" s="91"/>
      <c r="T277" s="91"/>
      <c r="U277" s="91"/>
      <c r="V277" s="99">
        <f t="shared" si="7"/>
        <v>2688</v>
      </c>
      <c r="W277" s="34"/>
      <c r="X277" s="34" t="s">
        <v>296</v>
      </c>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5"/>
    </row>
    <row r="278" spans="1:53" ht="15" thickBot="1" x14ac:dyDescent="0.4">
      <c r="A278" s="24" t="s">
        <v>296</v>
      </c>
      <c r="B278" s="24" t="s">
        <v>297</v>
      </c>
      <c r="C278" s="24" t="s">
        <v>297</v>
      </c>
      <c r="D278" s="24" t="s">
        <v>297</v>
      </c>
      <c r="E278" s="24" t="s">
        <v>297</v>
      </c>
      <c r="F278" s="24" t="s">
        <v>297</v>
      </c>
      <c r="G278" s="24" t="s">
        <v>297</v>
      </c>
      <c r="H278" s="24" t="s">
        <v>297</v>
      </c>
      <c r="I278" s="186" t="s">
        <v>297</v>
      </c>
      <c r="J278" s="187" t="s">
        <v>965</v>
      </c>
      <c r="K278" s="5" t="s">
        <v>858</v>
      </c>
      <c r="L278" s="5"/>
      <c r="M278" s="5" t="s">
        <v>383</v>
      </c>
      <c r="N278" s="5"/>
      <c r="O278" s="5"/>
      <c r="P278" s="291">
        <v>2161</v>
      </c>
      <c r="Q278" s="91"/>
      <c r="R278" s="91"/>
      <c r="S278" s="91"/>
      <c r="T278" s="91"/>
      <c r="U278" s="91"/>
      <c r="V278" s="99">
        <f t="shared" si="7"/>
        <v>2161</v>
      </c>
      <c r="W278" s="34"/>
      <c r="X278" s="34" t="s">
        <v>296</v>
      </c>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5"/>
    </row>
    <row r="279" spans="1:53" ht="15" thickBot="1" x14ac:dyDescent="0.4">
      <c r="A279" s="24" t="s">
        <v>296</v>
      </c>
      <c r="B279" s="24" t="s">
        <v>297</v>
      </c>
      <c r="C279" s="24" t="s">
        <v>297</v>
      </c>
      <c r="D279" s="24" t="s">
        <v>297</v>
      </c>
      <c r="E279" s="24" t="s">
        <v>297</v>
      </c>
      <c r="F279" s="24" t="s">
        <v>297</v>
      </c>
      <c r="G279" s="24" t="s">
        <v>297</v>
      </c>
      <c r="H279" s="24" t="s">
        <v>297</v>
      </c>
      <c r="I279" s="186" t="s">
        <v>297</v>
      </c>
      <c r="J279" s="187" t="s">
        <v>965</v>
      </c>
      <c r="K279" s="5" t="s">
        <v>859</v>
      </c>
      <c r="L279" s="5"/>
      <c r="M279" s="5" t="s">
        <v>383</v>
      </c>
      <c r="N279" s="5"/>
      <c r="O279" s="5"/>
      <c r="P279" s="291">
        <v>1382</v>
      </c>
      <c r="Q279" s="91"/>
      <c r="R279" s="91"/>
      <c r="S279" s="91"/>
      <c r="T279" s="91"/>
      <c r="U279" s="91"/>
      <c r="V279" s="99">
        <f t="shared" si="7"/>
        <v>1382</v>
      </c>
      <c r="W279" s="34"/>
      <c r="X279" s="34" t="s">
        <v>296</v>
      </c>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5"/>
    </row>
    <row r="280" spans="1:53" ht="15" thickBot="1" x14ac:dyDescent="0.4">
      <c r="A280" s="24" t="s">
        <v>296</v>
      </c>
      <c r="B280" s="24" t="s">
        <v>297</v>
      </c>
      <c r="C280" s="24" t="s">
        <v>297</v>
      </c>
      <c r="D280" s="24" t="s">
        <v>297</v>
      </c>
      <c r="E280" s="24" t="s">
        <v>297</v>
      </c>
      <c r="F280" s="24" t="s">
        <v>297</v>
      </c>
      <c r="G280" s="24" t="s">
        <v>297</v>
      </c>
      <c r="H280" s="24" t="s">
        <v>297</v>
      </c>
      <c r="I280" s="186" t="s">
        <v>297</v>
      </c>
      <c r="J280" s="187" t="s">
        <v>965</v>
      </c>
      <c r="K280" s="5" t="s">
        <v>860</v>
      </c>
      <c r="L280" s="5"/>
      <c r="M280" s="5" t="s">
        <v>383</v>
      </c>
      <c r="N280" s="5"/>
      <c r="O280" s="5"/>
      <c r="P280" s="291">
        <v>2385</v>
      </c>
      <c r="Q280" s="91"/>
      <c r="R280" s="91"/>
      <c r="S280" s="91"/>
      <c r="T280" s="91"/>
      <c r="U280" s="91"/>
      <c r="V280" s="99">
        <f t="shared" si="7"/>
        <v>2385</v>
      </c>
      <c r="W280" s="34"/>
      <c r="X280" s="34" t="s">
        <v>296</v>
      </c>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5"/>
    </row>
    <row r="281" spans="1:53" ht="15" thickBot="1" x14ac:dyDescent="0.4">
      <c r="A281" s="24" t="s">
        <v>296</v>
      </c>
      <c r="B281" s="24" t="s">
        <v>297</v>
      </c>
      <c r="C281" s="24" t="s">
        <v>297</v>
      </c>
      <c r="D281" s="24" t="s">
        <v>297</v>
      </c>
      <c r="E281" s="24" t="s">
        <v>297</v>
      </c>
      <c r="F281" s="24" t="s">
        <v>297</v>
      </c>
      <c r="G281" s="24" t="s">
        <v>297</v>
      </c>
      <c r="H281" s="24" t="s">
        <v>297</v>
      </c>
      <c r="I281" s="186" t="s">
        <v>297</v>
      </c>
      <c r="J281" s="187" t="s">
        <v>965</v>
      </c>
      <c r="K281" s="5" t="s">
        <v>861</v>
      </c>
      <c r="L281" s="5"/>
      <c r="M281" s="5" t="s">
        <v>383</v>
      </c>
      <c r="N281" s="5"/>
      <c r="O281" s="5"/>
      <c r="P281" s="291">
        <v>2890</v>
      </c>
      <c r="Q281" s="91"/>
      <c r="R281" s="91"/>
      <c r="S281" s="91"/>
      <c r="T281" s="91"/>
      <c r="U281" s="91"/>
      <c r="V281" s="99">
        <f t="shared" si="7"/>
        <v>2890</v>
      </c>
      <c r="W281" s="34"/>
      <c r="X281" s="34" t="s">
        <v>296</v>
      </c>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5"/>
    </row>
    <row r="282" spans="1:53" ht="15" thickBot="1" x14ac:dyDescent="0.4">
      <c r="A282" s="24" t="s">
        <v>296</v>
      </c>
      <c r="B282" s="24" t="s">
        <v>297</v>
      </c>
      <c r="C282" s="24" t="s">
        <v>297</v>
      </c>
      <c r="D282" s="24" t="s">
        <v>297</v>
      </c>
      <c r="E282" s="24" t="s">
        <v>297</v>
      </c>
      <c r="F282" s="24" t="s">
        <v>297</v>
      </c>
      <c r="G282" s="24" t="s">
        <v>297</v>
      </c>
      <c r="H282" s="24" t="s">
        <v>297</v>
      </c>
      <c r="I282" s="186" t="s">
        <v>297</v>
      </c>
      <c r="J282" s="187" t="s">
        <v>965</v>
      </c>
      <c r="K282" s="5" t="s">
        <v>862</v>
      </c>
      <c r="L282" s="5"/>
      <c r="M282" s="5" t="s">
        <v>383</v>
      </c>
      <c r="N282" s="5"/>
      <c r="O282" s="5"/>
      <c r="P282" s="291">
        <v>2847</v>
      </c>
      <c r="Q282" s="91"/>
      <c r="R282" s="91"/>
      <c r="S282" s="91"/>
      <c r="T282" s="91"/>
      <c r="U282" s="91"/>
      <c r="V282" s="99">
        <f t="shared" si="7"/>
        <v>2847</v>
      </c>
      <c r="W282" s="34"/>
      <c r="X282" s="34" t="s">
        <v>296</v>
      </c>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5"/>
    </row>
    <row r="283" spans="1:53" ht="15" thickBot="1" x14ac:dyDescent="0.4">
      <c r="A283" s="24" t="s">
        <v>296</v>
      </c>
      <c r="B283" s="24" t="s">
        <v>297</v>
      </c>
      <c r="C283" s="24" t="s">
        <v>297</v>
      </c>
      <c r="D283" s="24" t="s">
        <v>297</v>
      </c>
      <c r="E283" s="24" t="s">
        <v>297</v>
      </c>
      <c r="F283" s="24" t="s">
        <v>297</v>
      </c>
      <c r="G283" s="24" t="s">
        <v>297</v>
      </c>
      <c r="H283" s="24" t="s">
        <v>297</v>
      </c>
      <c r="I283" s="186" t="s">
        <v>297</v>
      </c>
      <c r="J283" s="187" t="s">
        <v>965</v>
      </c>
      <c r="K283" s="5" t="s">
        <v>863</v>
      </c>
      <c r="L283" s="5"/>
      <c r="M283" s="5" t="s">
        <v>383</v>
      </c>
      <c r="N283" s="5"/>
      <c r="O283" s="5"/>
      <c r="P283" s="291">
        <v>2290</v>
      </c>
      <c r="Q283" s="91"/>
      <c r="R283" s="91"/>
      <c r="S283" s="91"/>
      <c r="T283" s="91"/>
      <c r="U283" s="91"/>
      <c r="V283" s="99">
        <f t="shared" si="7"/>
        <v>2290</v>
      </c>
      <c r="W283" s="34"/>
      <c r="X283" s="34" t="s">
        <v>296</v>
      </c>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5"/>
    </row>
    <row r="284" spans="1:53" ht="15" thickBot="1" x14ac:dyDescent="0.4">
      <c r="A284" s="24" t="s">
        <v>296</v>
      </c>
      <c r="B284" s="24" t="s">
        <v>297</v>
      </c>
      <c r="C284" s="24" t="s">
        <v>297</v>
      </c>
      <c r="D284" s="24" t="s">
        <v>297</v>
      </c>
      <c r="E284" s="24" t="s">
        <v>297</v>
      </c>
      <c r="F284" s="24" t="s">
        <v>297</v>
      </c>
      <c r="G284" s="24" t="s">
        <v>297</v>
      </c>
      <c r="H284" s="24" t="s">
        <v>297</v>
      </c>
      <c r="I284" s="186" t="s">
        <v>297</v>
      </c>
      <c r="J284" s="187" t="s">
        <v>965</v>
      </c>
      <c r="K284" s="5" t="s">
        <v>864</v>
      </c>
      <c r="L284" s="5"/>
      <c r="M284" s="5" t="s">
        <v>383</v>
      </c>
      <c r="N284" s="5"/>
      <c r="O284" s="5"/>
      <c r="P284" s="291">
        <v>2794</v>
      </c>
      <c r="Q284" s="91"/>
      <c r="R284" s="91"/>
      <c r="S284" s="91"/>
      <c r="T284" s="91"/>
      <c r="U284" s="91"/>
      <c r="V284" s="99">
        <f t="shared" si="7"/>
        <v>2794</v>
      </c>
      <c r="W284" s="34"/>
      <c r="X284" s="34" t="s">
        <v>296</v>
      </c>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5"/>
    </row>
    <row r="285" spans="1:53" ht="15" thickBot="1" x14ac:dyDescent="0.4">
      <c r="A285" s="24" t="s">
        <v>296</v>
      </c>
      <c r="B285" s="24" t="s">
        <v>297</v>
      </c>
      <c r="C285" s="24" t="s">
        <v>297</v>
      </c>
      <c r="D285" s="24" t="s">
        <v>297</v>
      </c>
      <c r="E285" s="24" t="s">
        <v>297</v>
      </c>
      <c r="F285" s="24" t="s">
        <v>297</v>
      </c>
      <c r="G285" s="24" t="s">
        <v>297</v>
      </c>
      <c r="H285" s="24" t="s">
        <v>297</v>
      </c>
      <c r="I285" s="186" t="s">
        <v>297</v>
      </c>
      <c r="J285" s="187" t="s">
        <v>965</v>
      </c>
      <c r="K285" s="5" t="s">
        <v>865</v>
      </c>
      <c r="L285" s="5"/>
      <c r="M285" s="5" t="s">
        <v>383</v>
      </c>
      <c r="N285" s="5"/>
      <c r="O285" s="5"/>
      <c r="P285" s="291">
        <v>2473</v>
      </c>
      <c r="Q285" s="91"/>
      <c r="R285" s="91"/>
      <c r="S285" s="91"/>
      <c r="T285" s="91"/>
      <c r="U285" s="91"/>
      <c r="V285" s="99">
        <f t="shared" si="7"/>
        <v>2473</v>
      </c>
      <c r="W285" s="34"/>
      <c r="X285" s="34" t="s">
        <v>296</v>
      </c>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5"/>
    </row>
    <row r="286" spans="1:53" ht="15" thickBot="1" x14ac:dyDescent="0.4">
      <c r="A286" s="24" t="s">
        <v>296</v>
      </c>
      <c r="B286" s="24" t="s">
        <v>297</v>
      </c>
      <c r="C286" s="24" t="s">
        <v>297</v>
      </c>
      <c r="D286" s="24" t="s">
        <v>297</v>
      </c>
      <c r="E286" s="24" t="s">
        <v>297</v>
      </c>
      <c r="F286" s="24" t="s">
        <v>297</v>
      </c>
      <c r="G286" s="24" t="s">
        <v>297</v>
      </c>
      <c r="H286" s="24" t="s">
        <v>297</v>
      </c>
      <c r="I286" s="186" t="s">
        <v>297</v>
      </c>
      <c r="J286" s="187" t="s">
        <v>965</v>
      </c>
      <c r="K286" s="5" t="s">
        <v>866</v>
      </c>
      <c r="L286" s="5"/>
      <c r="M286" s="5" t="s">
        <v>383</v>
      </c>
      <c r="N286" s="5"/>
      <c r="O286" s="5"/>
      <c r="P286" s="291">
        <v>2350</v>
      </c>
      <c r="Q286" s="91"/>
      <c r="R286" s="91"/>
      <c r="S286" s="91"/>
      <c r="T286" s="91"/>
      <c r="U286" s="91"/>
      <c r="V286" s="99">
        <f t="shared" si="7"/>
        <v>2350</v>
      </c>
      <c r="W286" s="34"/>
      <c r="X286" s="34" t="s">
        <v>296</v>
      </c>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5"/>
    </row>
    <row r="287" spans="1:53" ht="15" thickBot="1" x14ac:dyDescent="0.4">
      <c r="A287" s="24" t="s">
        <v>296</v>
      </c>
      <c r="B287" s="24" t="s">
        <v>297</v>
      </c>
      <c r="C287" s="24" t="s">
        <v>297</v>
      </c>
      <c r="D287" s="24" t="s">
        <v>297</v>
      </c>
      <c r="E287" s="24" t="s">
        <v>297</v>
      </c>
      <c r="F287" s="24" t="s">
        <v>297</v>
      </c>
      <c r="G287" s="24" t="s">
        <v>297</v>
      </c>
      <c r="H287" s="24" t="s">
        <v>297</v>
      </c>
      <c r="I287" s="186" t="s">
        <v>297</v>
      </c>
      <c r="J287" s="187" t="s">
        <v>965</v>
      </c>
      <c r="K287" s="5" t="s">
        <v>867</v>
      </c>
      <c r="L287" s="5"/>
      <c r="M287" s="5" t="s">
        <v>383</v>
      </c>
      <c r="N287" s="5"/>
      <c r="O287" s="5"/>
      <c r="P287" s="291">
        <v>2274</v>
      </c>
      <c r="Q287" s="91"/>
      <c r="R287" s="91"/>
      <c r="S287" s="91"/>
      <c r="T287" s="91"/>
      <c r="U287" s="91"/>
      <c r="V287" s="99">
        <f t="shared" si="7"/>
        <v>2274</v>
      </c>
      <c r="W287" s="34"/>
      <c r="X287" s="34" t="s">
        <v>296</v>
      </c>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5"/>
    </row>
    <row r="288" spans="1:53" ht="15" thickBot="1" x14ac:dyDescent="0.4">
      <c r="A288" s="24" t="s">
        <v>296</v>
      </c>
      <c r="B288" s="24" t="s">
        <v>297</v>
      </c>
      <c r="C288" s="24" t="s">
        <v>297</v>
      </c>
      <c r="D288" s="24" t="s">
        <v>297</v>
      </c>
      <c r="E288" s="24" t="s">
        <v>297</v>
      </c>
      <c r="F288" s="24" t="s">
        <v>297</v>
      </c>
      <c r="G288" s="24" t="s">
        <v>297</v>
      </c>
      <c r="H288" s="24" t="s">
        <v>297</v>
      </c>
      <c r="I288" s="186" t="s">
        <v>297</v>
      </c>
      <c r="J288" s="187" t="s">
        <v>965</v>
      </c>
      <c r="K288" s="5" t="s">
        <v>868</v>
      </c>
      <c r="L288" s="5"/>
      <c r="M288" s="5" t="s">
        <v>383</v>
      </c>
      <c r="N288" s="5"/>
      <c r="O288" s="5"/>
      <c r="P288" s="291">
        <v>2212</v>
      </c>
      <c r="Q288" s="91"/>
      <c r="R288" s="91"/>
      <c r="S288" s="91"/>
      <c r="T288" s="91"/>
      <c r="U288" s="91"/>
      <c r="V288" s="99">
        <f t="shared" si="7"/>
        <v>2212</v>
      </c>
      <c r="W288" s="34"/>
      <c r="X288" s="34" t="s">
        <v>296</v>
      </c>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5"/>
    </row>
    <row r="289" spans="1:53" ht="15" thickBot="1" x14ac:dyDescent="0.4">
      <c r="A289" s="24" t="s">
        <v>296</v>
      </c>
      <c r="B289" s="24" t="s">
        <v>297</v>
      </c>
      <c r="C289" s="24" t="s">
        <v>297</v>
      </c>
      <c r="D289" s="24" t="s">
        <v>297</v>
      </c>
      <c r="E289" s="24" t="s">
        <v>297</v>
      </c>
      <c r="F289" s="24" t="s">
        <v>297</v>
      </c>
      <c r="G289" s="24" t="s">
        <v>297</v>
      </c>
      <c r="H289" s="24" t="s">
        <v>297</v>
      </c>
      <c r="I289" s="186" t="s">
        <v>297</v>
      </c>
      <c r="J289" s="187" t="s">
        <v>965</v>
      </c>
      <c r="K289" s="5" t="s">
        <v>869</v>
      </c>
      <c r="L289" s="5"/>
      <c r="M289" s="5" t="s">
        <v>383</v>
      </c>
      <c r="N289" s="5"/>
      <c r="O289" s="5"/>
      <c r="P289" s="291">
        <v>1431</v>
      </c>
      <c r="Q289" s="91"/>
      <c r="R289" s="91"/>
      <c r="S289" s="91"/>
      <c r="T289" s="91"/>
      <c r="U289" s="91"/>
      <c r="V289" s="99">
        <f t="shared" si="7"/>
        <v>1431</v>
      </c>
      <c r="W289" s="34"/>
      <c r="X289" s="34" t="s">
        <v>296</v>
      </c>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5"/>
    </row>
    <row r="290" spans="1:53" ht="15" thickBot="1" x14ac:dyDescent="0.4">
      <c r="A290" s="24" t="s">
        <v>296</v>
      </c>
      <c r="B290" s="24" t="s">
        <v>297</v>
      </c>
      <c r="C290" s="24" t="s">
        <v>297</v>
      </c>
      <c r="D290" s="24" t="s">
        <v>297</v>
      </c>
      <c r="E290" s="24" t="s">
        <v>297</v>
      </c>
      <c r="F290" s="24" t="s">
        <v>297</v>
      </c>
      <c r="G290" s="24" t="s">
        <v>297</v>
      </c>
      <c r="H290" s="24" t="s">
        <v>297</v>
      </c>
      <c r="I290" s="186" t="s">
        <v>297</v>
      </c>
      <c r="J290" s="187" t="s">
        <v>965</v>
      </c>
      <c r="K290" s="5" t="s">
        <v>870</v>
      </c>
      <c r="L290" s="5"/>
      <c r="M290" s="5" t="s">
        <v>383</v>
      </c>
      <c r="N290" s="5"/>
      <c r="O290" s="5"/>
      <c r="P290" s="291">
        <v>1371</v>
      </c>
      <c r="Q290" s="91"/>
      <c r="R290" s="91"/>
      <c r="S290" s="91"/>
      <c r="T290" s="91"/>
      <c r="U290" s="91"/>
      <c r="V290" s="99">
        <f t="shared" si="7"/>
        <v>1371</v>
      </c>
      <c r="W290" s="34"/>
      <c r="X290" s="34" t="s">
        <v>296</v>
      </c>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5"/>
    </row>
    <row r="291" spans="1:53" ht="15" thickBot="1" x14ac:dyDescent="0.4">
      <c r="A291" s="24" t="s">
        <v>296</v>
      </c>
      <c r="B291" s="24" t="s">
        <v>297</v>
      </c>
      <c r="C291" s="24" t="s">
        <v>297</v>
      </c>
      <c r="D291" s="24" t="s">
        <v>297</v>
      </c>
      <c r="E291" s="24" t="s">
        <v>297</v>
      </c>
      <c r="F291" s="24" t="s">
        <v>297</v>
      </c>
      <c r="G291" s="24" t="s">
        <v>297</v>
      </c>
      <c r="H291" s="24" t="s">
        <v>297</v>
      </c>
      <c r="I291" s="186" t="s">
        <v>297</v>
      </c>
      <c r="J291" s="187" t="s">
        <v>965</v>
      </c>
      <c r="K291" s="5" t="s">
        <v>871</v>
      </c>
      <c r="L291" s="5"/>
      <c r="M291" s="5" t="s">
        <v>383</v>
      </c>
      <c r="N291" s="5"/>
      <c r="O291" s="5"/>
      <c r="P291" s="291">
        <v>2024</v>
      </c>
      <c r="Q291" s="91"/>
      <c r="R291" s="91"/>
      <c r="S291" s="91"/>
      <c r="T291" s="91"/>
      <c r="U291" s="91"/>
      <c r="V291" s="99">
        <f t="shared" si="7"/>
        <v>2024</v>
      </c>
      <c r="W291" s="34"/>
      <c r="X291" s="34" t="s">
        <v>296</v>
      </c>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5"/>
    </row>
    <row r="292" spans="1:53" ht="15" thickBot="1" x14ac:dyDescent="0.4">
      <c r="A292" s="24" t="s">
        <v>296</v>
      </c>
      <c r="B292" s="24" t="s">
        <v>297</v>
      </c>
      <c r="C292" s="24" t="s">
        <v>297</v>
      </c>
      <c r="D292" s="24" t="s">
        <v>297</v>
      </c>
      <c r="E292" s="24" t="s">
        <v>297</v>
      </c>
      <c r="F292" s="24" t="s">
        <v>297</v>
      </c>
      <c r="G292" s="24" t="s">
        <v>297</v>
      </c>
      <c r="H292" s="24" t="s">
        <v>297</v>
      </c>
      <c r="I292" s="186" t="s">
        <v>297</v>
      </c>
      <c r="J292" s="187" t="s">
        <v>965</v>
      </c>
      <c r="K292" s="5" t="s">
        <v>872</v>
      </c>
      <c r="L292" s="5"/>
      <c r="M292" s="5" t="s">
        <v>383</v>
      </c>
      <c r="N292" s="5"/>
      <c r="O292" s="5"/>
      <c r="P292" s="291">
        <v>3417</v>
      </c>
      <c r="Q292" s="91"/>
      <c r="R292" s="91"/>
      <c r="S292" s="91"/>
      <c r="T292" s="91"/>
      <c r="U292" s="91"/>
      <c r="V292" s="99">
        <f t="shared" si="7"/>
        <v>3417</v>
      </c>
      <c r="W292" s="34"/>
      <c r="X292" s="34" t="s">
        <v>296</v>
      </c>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5"/>
    </row>
    <row r="293" spans="1:53" ht="15" thickBot="1" x14ac:dyDescent="0.4">
      <c r="A293" s="24" t="s">
        <v>296</v>
      </c>
      <c r="B293" s="24" t="s">
        <v>297</v>
      </c>
      <c r="C293" s="24" t="s">
        <v>297</v>
      </c>
      <c r="D293" s="24" t="s">
        <v>297</v>
      </c>
      <c r="E293" s="24" t="s">
        <v>297</v>
      </c>
      <c r="F293" s="24" t="s">
        <v>297</v>
      </c>
      <c r="G293" s="24" t="s">
        <v>297</v>
      </c>
      <c r="H293" s="24" t="s">
        <v>297</v>
      </c>
      <c r="I293" s="186" t="s">
        <v>297</v>
      </c>
      <c r="J293" s="187" t="s">
        <v>965</v>
      </c>
      <c r="K293" s="5" t="s">
        <v>873</v>
      </c>
      <c r="L293" s="5"/>
      <c r="M293" s="5" t="s">
        <v>383</v>
      </c>
      <c r="N293" s="5"/>
      <c r="O293" s="5"/>
      <c r="P293" s="291">
        <v>15.3</v>
      </c>
      <c r="Q293" s="91"/>
      <c r="R293" s="91"/>
      <c r="S293" s="91"/>
      <c r="T293" s="91"/>
      <c r="U293" s="91"/>
      <c r="V293" s="99">
        <f t="shared" si="7"/>
        <v>15.3</v>
      </c>
      <c r="W293" s="34"/>
      <c r="X293" s="34" t="s">
        <v>296</v>
      </c>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5"/>
    </row>
    <row r="294" spans="1:53" ht="15" thickBot="1" x14ac:dyDescent="0.4">
      <c r="A294" s="24" t="s">
        <v>296</v>
      </c>
      <c r="B294" s="24" t="s">
        <v>297</v>
      </c>
      <c r="C294" s="24" t="s">
        <v>297</v>
      </c>
      <c r="D294" s="24" t="s">
        <v>297</v>
      </c>
      <c r="E294" s="24" t="s">
        <v>297</v>
      </c>
      <c r="F294" s="24" t="s">
        <v>297</v>
      </c>
      <c r="G294" s="24" t="s">
        <v>297</v>
      </c>
      <c r="H294" s="24" t="s">
        <v>297</v>
      </c>
      <c r="I294" s="186" t="s">
        <v>297</v>
      </c>
      <c r="J294" s="187" t="s">
        <v>965</v>
      </c>
      <c r="K294" s="5" t="s">
        <v>874</v>
      </c>
      <c r="L294" s="5"/>
      <c r="M294" s="5" t="s">
        <v>383</v>
      </c>
      <c r="N294" s="5"/>
      <c r="O294" s="5"/>
      <c r="P294" s="291">
        <v>106</v>
      </c>
      <c r="Q294" s="91"/>
      <c r="R294" s="91"/>
      <c r="S294" s="91"/>
      <c r="T294" s="91"/>
      <c r="U294" s="91"/>
      <c r="V294" s="99">
        <f t="shared" si="7"/>
        <v>106</v>
      </c>
      <c r="W294" s="34"/>
      <c r="X294" s="34" t="s">
        <v>296</v>
      </c>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5"/>
    </row>
    <row r="295" spans="1:53" ht="15" thickBot="1" x14ac:dyDescent="0.4">
      <c r="A295" s="24" t="s">
        <v>296</v>
      </c>
      <c r="B295" s="24" t="s">
        <v>297</v>
      </c>
      <c r="C295" s="24" t="s">
        <v>297</v>
      </c>
      <c r="D295" s="24" t="s">
        <v>297</v>
      </c>
      <c r="E295" s="24" t="s">
        <v>297</v>
      </c>
      <c r="F295" s="24" t="s">
        <v>297</v>
      </c>
      <c r="G295" s="24" t="s">
        <v>297</v>
      </c>
      <c r="H295" s="24" t="s">
        <v>297</v>
      </c>
      <c r="I295" s="186" t="s">
        <v>297</v>
      </c>
      <c r="J295" s="187" t="s">
        <v>965</v>
      </c>
      <c r="K295" s="5" t="s">
        <v>875</v>
      </c>
      <c r="L295" s="5"/>
      <c r="M295" s="5" t="s">
        <v>383</v>
      </c>
      <c r="N295" s="5"/>
      <c r="O295" s="5"/>
      <c r="P295" s="291">
        <v>40</v>
      </c>
      <c r="Q295" s="91"/>
      <c r="R295" s="91"/>
      <c r="S295" s="91"/>
      <c r="T295" s="91"/>
      <c r="U295" s="91"/>
      <c r="V295" s="99">
        <f t="shared" si="7"/>
        <v>40</v>
      </c>
      <c r="W295" s="34"/>
      <c r="X295" s="34" t="s">
        <v>296</v>
      </c>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5"/>
    </row>
    <row r="296" spans="1:53" ht="15" thickBot="1" x14ac:dyDescent="0.4">
      <c r="A296" s="24" t="s">
        <v>296</v>
      </c>
      <c r="B296" s="24" t="s">
        <v>297</v>
      </c>
      <c r="C296" s="24" t="s">
        <v>297</v>
      </c>
      <c r="D296" s="24" t="s">
        <v>297</v>
      </c>
      <c r="E296" s="24" t="s">
        <v>297</v>
      </c>
      <c r="F296" s="24" t="s">
        <v>297</v>
      </c>
      <c r="G296" s="24" t="s">
        <v>297</v>
      </c>
      <c r="H296" s="24" t="s">
        <v>297</v>
      </c>
      <c r="I296" s="186" t="s">
        <v>297</v>
      </c>
      <c r="J296" s="187" t="s">
        <v>965</v>
      </c>
      <c r="K296" s="5" t="s">
        <v>876</v>
      </c>
      <c r="L296" s="5"/>
      <c r="M296" s="5" t="s">
        <v>383</v>
      </c>
      <c r="N296" s="5"/>
      <c r="O296" s="5"/>
      <c r="P296" s="291">
        <v>1.8</v>
      </c>
      <c r="Q296" s="91"/>
      <c r="R296" s="91"/>
      <c r="S296" s="91"/>
      <c r="T296" s="91"/>
      <c r="U296" s="91"/>
      <c r="V296" s="99">
        <f t="shared" si="7"/>
        <v>1.8</v>
      </c>
      <c r="W296" s="34"/>
      <c r="X296" s="34" t="s">
        <v>296</v>
      </c>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5"/>
    </row>
    <row r="297" spans="1:53" ht="15" thickBot="1" x14ac:dyDescent="0.4">
      <c r="A297" s="24" t="s">
        <v>296</v>
      </c>
      <c r="B297" s="24" t="s">
        <v>297</v>
      </c>
      <c r="C297" s="24" t="s">
        <v>297</v>
      </c>
      <c r="D297" s="24" t="s">
        <v>297</v>
      </c>
      <c r="E297" s="24" t="s">
        <v>297</v>
      </c>
      <c r="F297" s="24" t="s">
        <v>297</v>
      </c>
      <c r="G297" s="24" t="s">
        <v>297</v>
      </c>
      <c r="H297" s="24" t="s">
        <v>297</v>
      </c>
      <c r="I297" s="186" t="s">
        <v>297</v>
      </c>
      <c r="J297" s="187" t="s">
        <v>965</v>
      </c>
      <c r="K297" s="5" t="s">
        <v>877</v>
      </c>
      <c r="L297" s="5"/>
      <c r="M297" s="5" t="s">
        <v>383</v>
      </c>
      <c r="N297" s="5"/>
      <c r="O297" s="5"/>
      <c r="P297" s="291">
        <v>0.64</v>
      </c>
      <c r="Q297" s="91"/>
      <c r="R297" s="91"/>
      <c r="S297" s="91"/>
      <c r="T297" s="91"/>
      <c r="U297" s="91"/>
      <c r="V297" s="99">
        <f t="shared" si="7"/>
        <v>0.64</v>
      </c>
      <c r="W297" s="34"/>
      <c r="X297" s="34" t="s">
        <v>296</v>
      </c>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5"/>
    </row>
    <row r="298" spans="1:53" ht="15" thickBot="1" x14ac:dyDescent="0.4">
      <c r="A298" s="24" t="s">
        <v>296</v>
      </c>
      <c r="B298" s="24" t="s">
        <v>297</v>
      </c>
      <c r="C298" s="24" t="s">
        <v>297</v>
      </c>
      <c r="D298" s="24" t="s">
        <v>297</v>
      </c>
      <c r="E298" s="24" t="s">
        <v>297</v>
      </c>
      <c r="F298" s="24" t="s">
        <v>297</v>
      </c>
      <c r="G298" s="24" t="s">
        <v>297</v>
      </c>
      <c r="H298" s="24" t="s">
        <v>297</v>
      </c>
      <c r="I298" s="186" t="s">
        <v>297</v>
      </c>
      <c r="J298" s="187" t="s">
        <v>965</v>
      </c>
      <c r="K298" s="5" t="s">
        <v>878</v>
      </c>
      <c r="L298" s="5"/>
      <c r="M298" s="5" t="s">
        <v>383</v>
      </c>
      <c r="N298" s="5"/>
      <c r="O298" s="5"/>
      <c r="P298" s="291">
        <v>0.16</v>
      </c>
      <c r="Q298" s="91"/>
      <c r="R298" s="91"/>
      <c r="S298" s="91"/>
      <c r="T298" s="91"/>
      <c r="U298" s="91"/>
      <c r="V298" s="99">
        <f t="shared" si="7"/>
        <v>0.16</v>
      </c>
      <c r="W298" s="34"/>
      <c r="X298" s="34" t="s">
        <v>296</v>
      </c>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5"/>
    </row>
    <row r="299" spans="1:53" ht="15" thickBot="1" x14ac:dyDescent="0.4">
      <c r="A299" s="24" t="s">
        <v>296</v>
      </c>
      <c r="B299" s="24" t="s">
        <v>297</v>
      </c>
      <c r="C299" s="24" t="s">
        <v>297</v>
      </c>
      <c r="D299" s="24" t="s">
        <v>297</v>
      </c>
      <c r="E299" s="24" t="s">
        <v>297</v>
      </c>
      <c r="F299" s="24" t="s">
        <v>297</v>
      </c>
      <c r="G299" s="24" t="s">
        <v>297</v>
      </c>
      <c r="H299" s="24" t="s">
        <v>297</v>
      </c>
      <c r="I299" s="186" t="s">
        <v>297</v>
      </c>
      <c r="J299" s="187" t="s">
        <v>965</v>
      </c>
      <c r="K299" s="5" t="s">
        <v>879</v>
      </c>
      <c r="L299" s="5"/>
      <c r="M299" s="5" t="s">
        <v>383</v>
      </c>
      <c r="N299" s="5"/>
      <c r="O299" s="5"/>
      <c r="P299" s="291">
        <v>0.55000000000000004</v>
      </c>
      <c r="Q299" s="91"/>
      <c r="R299" s="91"/>
      <c r="S299" s="91"/>
      <c r="T299" s="91"/>
      <c r="U299" s="91"/>
      <c r="V299" s="99">
        <f t="shared" si="7"/>
        <v>0.55000000000000004</v>
      </c>
      <c r="W299" s="34"/>
      <c r="X299" s="34" t="s">
        <v>296</v>
      </c>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5"/>
    </row>
    <row r="300" spans="1:53" ht="15" thickBot="1" x14ac:dyDescent="0.4">
      <c r="A300" s="24" t="s">
        <v>296</v>
      </c>
      <c r="B300" s="24" t="s">
        <v>297</v>
      </c>
      <c r="C300" s="24" t="s">
        <v>297</v>
      </c>
      <c r="D300" s="24" t="s">
        <v>297</v>
      </c>
      <c r="E300" s="24" t="s">
        <v>297</v>
      </c>
      <c r="F300" s="24" t="s">
        <v>297</v>
      </c>
      <c r="G300" s="24" t="s">
        <v>297</v>
      </c>
      <c r="H300" s="24" t="s">
        <v>297</v>
      </c>
      <c r="I300" s="186" t="s">
        <v>297</v>
      </c>
      <c r="J300" s="187" t="s">
        <v>965</v>
      </c>
      <c r="K300" s="5" t="s">
        <v>880</v>
      </c>
      <c r="L300" s="5"/>
      <c r="M300" s="5" t="s">
        <v>383</v>
      </c>
      <c r="N300" s="5"/>
      <c r="O300" s="5"/>
      <c r="P300" s="291">
        <v>3076</v>
      </c>
      <c r="Q300" s="91"/>
      <c r="R300" s="91"/>
      <c r="S300" s="91"/>
      <c r="T300" s="91"/>
      <c r="U300" s="91"/>
      <c r="V300" s="99">
        <f t="shared" si="7"/>
        <v>3076</v>
      </c>
      <c r="W300" s="34"/>
      <c r="X300" s="34" t="s">
        <v>296</v>
      </c>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c r="AX300" s="34"/>
      <c r="AY300" s="34"/>
      <c r="AZ300" s="34"/>
      <c r="BA300" s="5"/>
    </row>
    <row r="301" spans="1:53" ht="15" thickBot="1" x14ac:dyDescent="0.4">
      <c r="A301" s="24" t="s">
        <v>296</v>
      </c>
      <c r="B301" s="24" t="s">
        <v>297</v>
      </c>
      <c r="C301" s="24" t="s">
        <v>297</v>
      </c>
      <c r="D301" s="24" t="s">
        <v>297</v>
      </c>
      <c r="E301" s="24" t="s">
        <v>297</v>
      </c>
      <c r="F301" s="24" t="s">
        <v>297</v>
      </c>
      <c r="G301" s="24" t="s">
        <v>297</v>
      </c>
      <c r="H301" s="24" t="s">
        <v>297</v>
      </c>
      <c r="I301" s="186" t="s">
        <v>297</v>
      </c>
      <c r="J301" s="187" t="s">
        <v>965</v>
      </c>
      <c r="K301" s="5" t="s">
        <v>881</v>
      </c>
      <c r="L301" s="5"/>
      <c r="M301" s="5" t="s">
        <v>383</v>
      </c>
      <c r="N301" s="5"/>
      <c r="O301" s="5"/>
      <c r="P301" s="291">
        <v>28.4</v>
      </c>
      <c r="Q301" s="91"/>
      <c r="R301" s="91"/>
      <c r="S301" s="91"/>
      <c r="T301" s="91"/>
      <c r="U301" s="91"/>
      <c r="V301" s="99">
        <f t="shared" si="7"/>
        <v>28.4</v>
      </c>
      <c r="W301" s="34"/>
      <c r="X301" s="34" t="s">
        <v>296</v>
      </c>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5"/>
    </row>
    <row r="302" spans="1:53" ht="15" thickBot="1" x14ac:dyDescent="0.4">
      <c r="A302" s="24" t="s">
        <v>296</v>
      </c>
      <c r="B302" s="24" t="s">
        <v>297</v>
      </c>
      <c r="C302" s="24" t="s">
        <v>297</v>
      </c>
      <c r="D302" s="24" t="s">
        <v>297</v>
      </c>
      <c r="E302" s="24" t="s">
        <v>297</v>
      </c>
      <c r="F302" s="24" t="s">
        <v>297</v>
      </c>
      <c r="G302" s="24" t="s">
        <v>297</v>
      </c>
      <c r="H302" s="24" t="s">
        <v>297</v>
      </c>
      <c r="I302" s="186" t="s">
        <v>297</v>
      </c>
      <c r="J302" s="187" t="s">
        <v>965</v>
      </c>
      <c r="K302" s="5" t="s">
        <v>882</v>
      </c>
      <c r="L302" s="5"/>
      <c r="M302" s="5" t="s">
        <v>383</v>
      </c>
      <c r="N302" s="5"/>
      <c r="O302" s="5"/>
      <c r="P302" s="291">
        <v>1.35</v>
      </c>
      <c r="Q302" s="91"/>
      <c r="R302" s="91"/>
      <c r="S302" s="91"/>
      <c r="T302" s="91"/>
      <c r="U302" s="91"/>
      <c r="V302" s="99">
        <f t="shared" si="7"/>
        <v>1.35</v>
      </c>
      <c r="W302" s="34"/>
      <c r="X302" s="34" t="s">
        <v>296</v>
      </c>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5"/>
    </row>
    <row r="303" spans="1:53" ht="15" thickBot="1" x14ac:dyDescent="0.4">
      <c r="A303" s="24" t="s">
        <v>296</v>
      </c>
      <c r="B303" s="24" t="s">
        <v>297</v>
      </c>
      <c r="C303" s="24" t="s">
        <v>297</v>
      </c>
      <c r="D303" s="24" t="s">
        <v>297</v>
      </c>
      <c r="E303" s="24" t="s">
        <v>297</v>
      </c>
      <c r="F303" s="24" t="s">
        <v>297</v>
      </c>
      <c r="G303" s="24" t="s">
        <v>297</v>
      </c>
      <c r="H303" s="24" t="s">
        <v>297</v>
      </c>
      <c r="I303" s="186" t="s">
        <v>297</v>
      </c>
      <c r="J303" s="187" t="s">
        <v>965</v>
      </c>
      <c r="K303" s="5" t="s">
        <v>883</v>
      </c>
      <c r="L303" s="5"/>
      <c r="M303" s="5" t="s">
        <v>383</v>
      </c>
      <c r="N303" s="5"/>
      <c r="O303" s="5"/>
      <c r="P303" s="291">
        <v>1.47</v>
      </c>
      <c r="Q303" s="91"/>
      <c r="R303" s="91"/>
      <c r="S303" s="91"/>
      <c r="T303" s="91"/>
      <c r="U303" s="91"/>
      <c r="V303" s="99">
        <f t="shared" si="7"/>
        <v>1.47</v>
      </c>
      <c r="W303" s="34"/>
      <c r="X303" s="34" t="s">
        <v>296</v>
      </c>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5"/>
    </row>
    <row r="304" spans="1:53" ht="15" thickBot="1" x14ac:dyDescent="0.4">
      <c r="A304" s="24" t="s">
        <v>296</v>
      </c>
      <c r="B304" s="24" t="s">
        <v>297</v>
      </c>
      <c r="C304" s="24" t="s">
        <v>297</v>
      </c>
      <c r="D304" s="24" t="s">
        <v>297</v>
      </c>
      <c r="E304" s="24" t="s">
        <v>297</v>
      </c>
      <c r="F304" s="24" t="s">
        <v>297</v>
      </c>
      <c r="G304" s="24" t="s">
        <v>297</v>
      </c>
      <c r="H304" s="24" t="s">
        <v>297</v>
      </c>
      <c r="I304" s="186" t="s">
        <v>297</v>
      </c>
      <c r="J304" s="187" t="s">
        <v>965</v>
      </c>
      <c r="K304" s="5" t="s">
        <v>884</v>
      </c>
      <c r="L304" s="5"/>
      <c r="M304" s="5" t="s">
        <v>383</v>
      </c>
      <c r="N304" s="5"/>
      <c r="O304" s="5"/>
      <c r="P304" s="291">
        <v>1639</v>
      </c>
      <c r="Q304" s="91"/>
      <c r="R304" s="91"/>
      <c r="S304" s="91"/>
      <c r="T304" s="91"/>
      <c r="U304" s="91"/>
      <c r="V304" s="99">
        <f t="shared" si="7"/>
        <v>1639</v>
      </c>
      <c r="W304" s="34"/>
      <c r="X304" s="34" t="s">
        <v>296</v>
      </c>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5"/>
    </row>
    <row r="305" spans="1:53" ht="15" thickBot="1" x14ac:dyDescent="0.4">
      <c r="A305" s="24" t="s">
        <v>296</v>
      </c>
      <c r="B305" s="24" t="s">
        <v>297</v>
      </c>
      <c r="C305" s="24" t="s">
        <v>297</v>
      </c>
      <c r="D305" s="24" t="s">
        <v>297</v>
      </c>
      <c r="E305" s="24" t="s">
        <v>297</v>
      </c>
      <c r="F305" s="24" t="s">
        <v>297</v>
      </c>
      <c r="G305" s="24" t="s">
        <v>297</v>
      </c>
      <c r="H305" s="24" t="s">
        <v>297</v>
      </c>
      <c r="I305" s="186" t="s">
        <v>297</v>
      </c>
      <c r="J305" s="187" t="s">
        <v>965</v>
      </c>
      <c r="K305" s="5" t="s">
        <v>885</v>
      </c>
      <c r="L305" s="5"/>
      <c r="M305" s="5" t="s">
        <v>383</v>
      </c>
      <c r="N305" s="5"/>
      <c r="O305" s="5"/>
      <c r="P305" s="291">
        <v>2059</v>
      </c>
      <c r="Q305" s="91"/>
      <c r="R305" s="91"/>
      <c r="S305" s="91"/>
      <c r="T305" s="91"/>
      <c r="U305" s="91"/>
      <c r="V305" s="99">
        <f t="shared" si="7"/>
        <v>2059</v>
      </c>
      <c r="W305" s="34"/>
      <c r="X305" s="34" t="s">
        <v>296</v>
      </c>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5"/>
    </row>
    <row r="306" spans="1:53" ht="15" thickBot="1" x14ac:dyDescent="0.4">
      <c r="A306" s="24" t="s">
        <v>296</v>
      </c>
      <c r="B306" s="24" t="s">
        <v>297</v>
      </c>
      <c r="C306" s="24" t="s">
        <v>297</v>
      </c>
      <c r="D306" s="24" t="s">
        <v>297</v>
      </c>
      <c r="E306" s="24" t="s">
        <v>297</v>
      </c>
      <c r="F306" s="24" t="s">
        <v>297</v>
      </c>
      <c r="G306" s="24" t="s">
        <v>297</v>
      </c>
      <c r="H306" s="24" t="s">
        <v>297</v>
      </c>
      <c r="I306" s="186" t="s">
        <v>297</v>
      </c>
      <c r="J306" s="187" t="s">
        <v>965</v>
      </c>
      <c r="K306" s="5" t="s">
        <v>886</v>
      </c>
      <c r="L306" s="5"/>
      <c r="M306" s="5" t="s">
        <v>383</v>
      </c>
      <c r="N306" s="5"/>
      <c r="O306" s="5"/>
      <c r="P306" s="291">
        <v>1828</v>
      </c>
      <c r="Q306" s="91"/>
      <c r="R306" s="91"/>
      <c r="S306" s="91"/>
      <c r="T306" s="91"/>
      <c r="U306" s="91"/>
      <c r="V306" s="99">
        <f t="shared" si="7"/>
        <v>1828</v>
      </c>
      <c r="W306" s="34"/>
      <c r="X306" s="34" t="s">
        <v>296</v>
      </c>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5"/>
    </row>
    <row r="307" spans="1:53" ht="15" thickBot="1" x14ac:dyDescent="0.4">
      <c r="A307" s="24" t="s">
        <v>296</v>
      </c>
      <c r="B307" s="24" t="s">
        <v>297</v>
      </c>
      <c r="C307" s="24" t="s">
        <v>297</v>
      </c>
      <c r="D307" s="24" t="s">
        <v>297</v>
      </c>
      <c r="E307" s="24" t="s">
        <v>297</v>
      </c>
      <c r="F307" s="24" t="s">
        <v>297</v>
      </c>
      <c r="G307" s="24" t="s">
        <v>297</v>
      </c>
      <c r="H307" s="24" t="s">
        <v>297</v>
      </c>
      <c r="I307" s="186" t="s">
        <v>297</v>
      </c>
      <c r="J307" s="187" t="s">
        <v>965</v>
      </c>
      <c r="K307" s="5" t="s">
        <v>887</v>
      </c>
      <c r="L307" s="5"/>
      <c r="M307" s="5" t="s">
        <v>383</v>
      </c>
      <c r="N307" s="5"/>
      <c r="O307" s="5"/>
      <c r="P307" s="291">
        <v>156</v>
      </c>
      <c r="Q307" s="91"/>
      <c r="R307" s="91"/>
      <c r="S307" s="91"/>
      <c r="T307" s="91"/>
      <c r="U307" s="91"/>
      <c r="V307" s="99">
        <f t="shared" si="7"/>
        <v>156</v>
      </c>
      <c r="W307" s="34"/>
      <c r="X307" s="34" t="s">
        <v>296</v>
      </c>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5"/>
    </row>
    <row r="308" spans="1:53" ht="15" thickBot="1" x14ac:dyDescent="0.4">
      <c r="A308" s="24" t="s">
        <v>296</v>
      </c>
      <c r="B308" s="24" t="s">
        <v>297</v>
      </c>
      <c r="C308" s="24" t="s">
        <v>297</v>
      </c>
      <c r="D308" s="24" t="s">
        <v>297</v>
      </c>
      <c r="E308" s="24" t="s">
        <v>297</v>
      </c>
      <c r="F308" s="24" t="s">
        <v>297</v>
      </c>
      <c r="G308" s="24" t="s">
        <v>297</v>
      </c>
      <c r="H308" s="24" t="s">
        <v>297</v>
      </c>
      <c r="I308" s="186" t="s">
        <v>297</v>
      </c>
      <c r="J308" s="187" t="s">
        <v>965</v>
      </c>
      <c r="K308" s="5" t="s">
        <v>888</v>
      </c>
      <c r="L308" s="5"/>
      <c r="M308" s="5" t="s">
        <v>383</v>
      </c>
      <c r="N308" s="5"/>
      <c r="O308" s="5"/>
      <c r="P308" s="291">
        <v>0.23</v>
      </c>
      <c r="Q308" s="91"/>
      <c r="R308" s="91"/>
      <c r="S308" s="91"/>
      <c r="T308" s="91"/>
      <c r="U308" s="91"/>
      <c r="V308" s="99">
        <f t="shared" si="7"/>
        <v>0.23</v>
      </c>
      <c r="W308" s="34"/>
      <c r="X308" s="34" t="s">
        <v>296</v>
      </c>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5"/>
    </row>
    <row r="309" spans="1:53" ht="15" thickBot="1" x14ac:dyDescent="0.4">
      <c r="A309" s="24" t="s">
        <v>296</v>
      </c>
      <c r="B309" s="24" t="s">
        <v>297</v>
      </c>
      <c r="C309" s="24" t="s">
        <v>297</v>
      </c>
      <c r="D309" s="24" t="s">
        <v>297</v>
      </c>
      <c r="E309" s="24" t="s">
        <v>297</v>
      </c>
      <c r="F309" s="24" t="s">
        <v>297</v>
      </c>
      <c r="G309" s="24" t="s">
        <v>297</v>
      </c>
      <c r="H309" s="24" t="s">
        <v>297</v>
      </c>
      <c r="I309" s="186" t="s">
        <v>297</v>
      </c>
      <c r="J309" s="187" t="s">
        <v>965</v>
      </c>
      <c r="K309" s="5" t="s">
        <v>889</v>
      </c>
      <c r="L309" s="5"/>
      <c r="M309" s="5" t="s">
        <v>383</v>
      </c>
      <c r="N309" s="5"/>
      <c r="O309" s="5"/>
      <c r="P309" s="291">
        <v>1754</v>
      </c>
      <c r="Q309" s="91"/>
      <c r="R309" s="91"/>
      <c r="S309" s="91"/>
      <c r="T309" s="91"/>
      <c r="U309" s="91"/>
      <c r="V309" s="99">
        <f t="shared" si="7"/>
        <v>1754</v>
      </c>
      <c r="W309" s="34"/>
      <c r="X309" s="34" t="s">
        <v>296</v>
      </c>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5"/>
    </row>
    <row r="310" spans="1:53" ht="15" thickBot="1" x14ac:dyDescent="0.4">
      <c r="A310" s="24" t="s">
        <v>296</v>
      </c>
      <c r="B310" s="24" t="s">
        <v>297</v>
      </c>
      <c r="C310" s="24" t="s">
        <v>297</v>
      </c>
      <c r="D310" s="24" t="s">
        <v>297</v>
      </c>
      <c r="E310" s="24" t="s">
        <v>297</v>
      </c>
      <c r="F310" s="24" t="s">
        <v>297</v>
      </c>
      <c r="G310" s="24" t="s">
        <v>297</v>
      </c>
      <c r="H310" s="24" t="s">
        <v>297</v>
      </c>
      <c r="I310" s="186" t="s">
        <v>297</v>
      </c>
      <c r="J310" s="187" t="s">
        <v>965</v>
      </c>
      <c r="K310" s="5" t="s">
        <v>890</v>
      </c>
      <c r="L310" s="5"/>
      <c r="M310" s="5" t="s">
        <v>383</v>
      </c>
      <c r="N310" s="5"/>
      <c r="O310" s="5"/>
      <c r="P310" s="291">
        <v>1</v>
      </c>
      <c r="Q310" s="91"/>
      <c r="R310" s="91"/>
      <c r="S310" s="91"/>
      <c r="T310" s="91"/>
      <c r="U310" s="91"/>
      <c r="V310" s="99">
        <f t="shared" si="7"/>
        <v>1</v>
      </c>
      <c r="W310" s="34"/>
      <c r="X310" s="34" t="s">
        <v>296</v>
      </c>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5"/>
    </row>
    <row r="311" spans="1:53" ht="15" thickBot="1" x14ac:dyDescent="0.4">
      <c r="A311" s="24" t="s">
        <v>296</v>
      </c>
      <c r="B311" s="24" t="s">
        <v>297</v>
      </c>
      <c r="C311" s="24" t="s">
        <v>297</v>
      </c>
      <c r="D311" s="24" t="s">
        <v>297</v>
      </c>
      <c r="E311" s="24" t="s">
        <v>297</v>
      </c>
      <c r="F311" s="24" t="s">
        <v>297</v>
      </c>
      <c r="G311" s="24" t="s">
        <v>297</v>
      </c>
      <c r="H311" s="24" t="s">
        <v>297</v>
      </c>
      <c r="I311" s="186" t="s">
        <v>297</v>
      </c>
      <c r="J311" s="187" t="s">
        <v>965</v>
      </c>
      <c r="K311" s="5" t="s">
        <v>891</v>
      </c>
      <c r="L311" s="5"/>
      <c r="M311" s="5" t="s">
        <v>383</v>
      </c>
      <c r="N311" s="5"/>
      <c r="O311" s="5"/>
      <c r="P311" s="291">
        <v>89</v>
      </c>
      <c r="Q311" s="91"/>
      <c r="R311" s="91"/>
      <c r="S311" s="91"/>
      <c r="T311" s="91"/>
      <c r="U311" s="91"/>
      <c r="V311" s="99">
        <f t="shared" si="7"/>
        <v>89</v>
      </c>
      <c r="W311" s="34"/>
      <c r="X311" s="34" t="s">
        <v>296</v>
      </c>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5"/>
    </row>
    <row r="312" spans="1:53" ht="15" thickBot="1" x14ac:dyDescent="0.4">
      <c r="A312" s="24" t="s">
        <v>296</v>
      </c>
      <c r="B312" s="24" t="s">
        <v>297</v>
      </c>
      <c r="C312" s="24" t="s">
        <v>297</v>
      </c>
      <c r="D312" s="24" t="s">
        <v>297</v>
      </c>
      <c r="E312" s="24" t="s">
        <v>297</v>
      </c>
      <c r="F312" s="24" t="s">
        <v>297</v>
      </c>
      <c r="G312" s="24" t="s">
        <v>297</v>
      </c>
      <c r="H312" s="24" t="s">
        <v>297</v>
      </c>
      <c r="I312" s="186" t="s">
        <v>297</v>
      </c>
      <c r="J312" s="187" t="s">
        <v>965</v>
      </c>
      <c r="K312" s="5" t="s">
        <v>892</v>
      </c>
      <c r="L312" s="5"/>
      <c r="M312" s="5" t="s">
        <v>383</v>
      </c>
      <c r="N312" s="5"/>
      <c r="O312" s="5"/>
      <c r="P312" s="291">
        <v>118</v>
      </c>
      <c r="Q312" s="91"/>
      <c r="R312" s="91"/>
      <c r="S312" s="91"/>
      <c r="T312" s="91"/>
      <c r="U312" s="91"/>
      <c r="V312" s="99">
        <f t="shared" si="7"/>
        <v>118</v>
      </c>
      <c r="W312" s="34"/>
      <c r="X312" s="34" t="s">
        <v>296</v>
      </c>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5"/>
    </row>
    <row r="313" spans="1:53" ht="15" thickBot="1" x14ac:dyDescent="0.4">
      <c r="A313" s="24" t="s">
        <v>296</v>
      </c>
      <c r="B313" s="24" t="s">
        <v>297</v>
      </c>
      <c r="C313" s="24" t="s">
        <v>297</v>
      </c>
      <c r="D313" s="24" t="s">
        <v>297</v>
      </c>
      <c r="E313" s="24" t="s">
        <v>297</v>
      </c>
      <c r="F313" s="24" t="s">
        <v>297</v>
      </c>
      <c r="G313" s="24" t="s">
        <v>297</v>
      </c>
      <c r="H313" s="24" t="s">
        <v>297</v>
      </c>
      <c r="I313" s="186" t="s">
        <v>297</v>
      </c>
      <c r="J313" s="187" t="s">
        <v>965</v>
      </c>
      <c r="K313" s="5" t="s">
        <v>893</v>
      </c>
      <c r="L313" s="5"/>
      <c r="M313" s="5" t="s">
        <v>383</v>
      </c>
      <c r="N313" s="5"/>
      <c r="O313" s="5"/>
      <c r="P313" s="291">
        <v>7564</v>
      </c>
      <c r="Q313" s="91"/>
      <c r="R313" s="91"/>
      <c r="S313" s="91"/>
      <c r="T313" s="91"/>
      <c r="U313" s="91"/>
      <c r="V313" s="99">
        <f t="shared" si="7"/>
        <v>7564</v>
      </c>
      <c r="W313" s="34"/>
      <c r="X313" s="34" t="s">
        <v>296</v>
      </c>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5"/>
    </row>
    <row r="314" spans="1:53" ht="15" thickBot="1" x14ac:dyDescent="0.4">
      <c r="A314" s="24" t="s">
        <v>296</v>
      </c>
      <c r="B314" s="24" t="s">
        <v>297</v>
      </c>
      <c r="C314" s="24" t="s">
        <v>297</v>
      </c>
      <c r="D314" s="24" t="s">
        <v>297</v>
      </c>
      <c r="E314" s="24" t="s">
        <v>297</v>
      </c>
      <c r="F314" s="24" t="s">
        <v>297</v>
      </c>
      <c r="G314" s="24" t="s">
        <v>297</v>
      </c>
      <c r="H314" s="24" t="s">
        <v>297</v>
      </c>
      <c r="I314" s="186" t="s">
        <v>297</v>
      </c>
      <c r="J314" s="187" t="s">
        <v>965</v>
      </c>
      <c r="K314" s="5" t="s">
        <v>894</v>
      </c>
      <c r="L314" s="5"/>
      <c r="M314" s="5" t="s">
        <v>383</v>
      </c>
      <c r="N314" s="5"/>
      <c r="O314" s="5"/>
      <c r="P314" s="291">
        <v>3870</v>
      </c>
      <c r="Q314" s="91"/>
      <c r="R314" s="91"/>
      <c r="S314" s="91"/>
      <c r="T314" s="91"/>
      <c r="U314" s="91"/>
      <c r="V314" s="99">
        <f t="shared" si="7"/>
        <v>3870</v>
      </c>
      <c r="W314" s="34"/>
      <c r="X314" s="34" t="s">
        <v>296</v>
      </c>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5"/>
    </row>
    <row r="315" spans="1:53" ht="15" thickBot="1" x14ac:dyDescent="0.4">
      <c r="A315" s="24" t="s">
        <v>296</v>
      </c>
      <c r="B315" s="24" t="s">
        <v>297</v>
      </c>
      <c r="C315" s="24" t="s">
        <v>297</v>
      </c>
      <c r="D315" s="24" t="s">
        <v>297</v>
      </c>
      <c r="E315" s="24" t="s">
        <v>297</v>
      </c>
      <c r="F315" s="24" t="s">
        <v>297</v>
      </c>
      <c r="G315" s="24" t="s">
        <v>297</v>
      </c>
      <c r="H315" s="24" t="s">
        <v>297</v>
      </c>
      <c r="I315" s="186" t="s">
        <v>297</v>
      </c>
      <c r="J315" s="187" t="s">
        <v>965</v>
      </c>
      <c r="K315" s="5" t="s">
        <v>895</v>
      </c>
      <c r="L315" s="5"/>
      <c r="M315" s="5" t="s">
        <v>383</v>
      </c>
      <c r="N315" s="5"/>
      <c r="O315" s="5"/>
      <c r="P315" s="291">
        <v>4786</v>
      </c>
      <c r="Q315" s="91"/>
      <c r="R315" s="91"/>
      <c r="S315" s="91"/>
      <c r="T315" s="91"/>
      <c r="U315" s="91"/>
      <c r="V315" s="99">
        <f t="shared" si="7"/>
        <v>4786</v>
      </c>
      <c r="W315" s="34"/>
      <c r="X315" s="34" t="s">
        <v>296</v>
      </c>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5"/>
    </row>
    <row r="316" spans="1:53" ht="15" thickBot="1" x14ac:dyDescent="0.4">
      <c r="A316" s="24" t="s">
        <v>296</v>
      </c>
      <c r="B316" s="24" t="s">
        <v>297</v>
      </c>
      <c r="C316" s="24" t="s">
        <v>297</v>
      </c>
      <c r="D316" s="24" t="s">
        <v>297</v>
      </c>
      <c r="E316" s="24" t="s">
        <v>297</v>
      </c>
      <c r="F316" s="24" t="s">
        <v>297</v>
      </c>
      <c r="G316" s="24" t="s">
        <v>297</v>
      </c>
      <c r="H316" s="24" t="s">
        <v>297</v>
      </c>
      <c r="I316" s="186" t="s">
        <v>297</v>
      </c>
      <c r="J316" s="187" t="s">
        <v>965</v>
      </c>
      <c r="K316" s="5" t="s">
        <v>896</v>
      </c>
      <c r="L316" s="5"/>
      <c r="M316" s="5" t="s">
        <v>383</v>
      </c>
      <c r="N316" s="5"/>
      <c r="O316" s="5"/>
      <c r="P316" s="291">
        <v>13299</v>
      </c>
      <c r="Q316" s="91"/>
      <c r="R316" s="91"/>
      <c r="S316" s="91"/>
      <c r="T316" s="91"/>
      <c r="U316" s="91"/>
      <c r="V316" s="99">
        <f t="shared" si="7"/>
        <v>13299</v>
      </c>
      <c r="W316" s="34"/>
      <c r="X316" s="34" t="s">
        <v>296</v>
      </c>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5"/>
    </row>
    <row r="317" spans="1:53" ht="15" thickBot="1" x14ac:dyDescent="0.4">
      <c r="A317" s="24" t="s">
        <v>296</v>
      </c>
      <c r="B317" s="24" t="s">
        <v>297</v>
      </c>
      <c r="C317" s="24" t="s">
        <v>297</v>
      </c>
      <c r="D317" s="24" t="s">
        <v>297</v>
      </c>
      <c r="E317" s="24" t="s">
        <v>297</v>
      </c>
      <c r="F317" s="24" t="s">
        <v>297</v>
      </c>
      <c r="G317" s="24" t="s">
        <v>297</v>
      </c>
      <c r="H317" s="24" t="s">
        <v>297</v>
      </c>
      <c r="I317" s="186" t="s">
        <v>297</v>
      </c>
      <c r="J317" s="187" t="s">
        <v>965</v>
      </c>
      <c r="K317" s="5" t="s">
        <v>897</v>
      </c>
      <c r="L317" s="5"/>
      <c r="M317" s="5" t="s">
        <v>383</v>
      </c>
      <c r="N317" s="5"/>
      <c r="O317" s="5"/>
      <c r="P317" s="291">
        <v>4299</v>
      </c>
      <c r="Q317" s="91"/>
      <c r="R317" s="91"/>
      <c r="S317" s="91"/>
      <c r="T317" s="91"/>
      <c r="U317" s="91"/>
      <c r="V317" s="99">
        <f t="shared" si="7"/>
        <v>4299</v>
      </c>
      <c r="W317" s="34"/>
      <c r="X317" s="34" t="s">
        <v>296</v>
      </c>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5"/>
    </row>
    <row r="318" spans="1:53" ht="15" thickBot="1" x14ac:dyDescent="0.4">
      <c r="A318" s="24" t="s">
        <v>296</v>
      </c>
      <c r="B318" s="24" t="s">
        <v>297</v>
      </c>
      <c r="C318" s="24" t="s">
        <v>297</v>
      </c>
      <c r="D318" s="24" t="s">
        <v>297</v>
      </c>
      <c r="E318" s="24" t="s">
        <v>297</v>
      </c>
      <c r="F318" s="24" t="s">
        <v>297</v>
      </c>
      <c r="G318" s="24" t="s">
        <v>297</v>
      </c>
      <c r="H318" s="24" t="s">
        <v>297</v>
      </c>
      <c r="I318" s="186" t="s">
        <v>297</v>
      </c>
      <c r="J318" s="187" t="s">
        <v>965</v>
      </c>
      <c r="K318" s="5" t="s">
        <v>898</v>
      </c>
      <c r="L318" s="5"/>
      <c r="M318" s="5" t="s">
        <v>383</v>
      </c>
      <c r="N318" s="5"/>
      <c r="O318" s="5"/>
      <c r="P318" s="291">
        <v>7956</v>
      </c>
      <c r="Q318" s="91"/>
      <c r="R318" s="91"/>
      <c r="S318" s="91"/>
      <c r="T318" s="91"/>
      <c r="U318" s="91"/>
      <c r="V318" s="99">
        <f t="shared" si="7"/>
        <v>7956</v>
      </c>
      <c r="W318" s="34"/>
      <c r="X318" s="34" t="s">
        <v>296</v>
      </c>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5"/>
    </row>
    <row r="319" spans="1:53" ht="15" thickBot="1" x14ac:dyDescent="0.4">
      <c r="A319" s="24" t="s">
        <v>296</v>
      </c>
      <c r="B319" s="24" t="s">
        <v>297</v>
      </c>
      <c r="C319" s="24" t="s">
        <v>297</v>
      </c>
      <c r="D319" s="24" t="s">
        <v>297</v>
      </c>
      <c r="E319" s="24" t="s">
        <v>297</v>
      </c>
      <c r="F319" s="24" t="s">
        <v>297</v>
      </c>
      <c r="G319" s="24" t="s">
        <v>297</v>
      </c>
      <c r="H319" s="24" t="s">
        <v>297</v>
      </c>
      <c r="I319" s="186" t="s">
        <v>297</v>
      </c>
      <c r="J319" s="187" t="s">
        <v>965</v>
      </c>
      <c r="K319" s="5" t="s">
        <v>899</v>
      </c>
      <c r="L319" s="5"/>
      <c r="M319" s="5" t="s">
        <v>383</v>
      </c>
      <c r="N319" s="5"/>
      <c r="O319" s="5"/>
      <c r="P319" s="291">
        <v>3857</v>
      </c>
      <c r="Q319" s="91"/>
      <c r="R319" s="91"/>
      <c r="S319" s="91"/>
      <c r="T319" s="91"/>
      <c r="U319" s="91"/>
      <c r="V319" s="99">
        <f t="shared" si="7"/>
        <v>3857</v>
      </c>
      <c r="W319" s="34"/>
      <c r="X319" s="34" t="s">
        <v>296</v>
      </c>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5"/>
    </row>
    <row r="320" spans="1:53" ht="15" thickBot="1" x14ac:dyDescent="0.4">
      <c r="A320" s="24" t="s">
        <v>296</v>
      </c>
      <c r="B320" s="24" t="s">
        <v>297</v>
      </c>
      <c r="C320" s="24" t="s">
        <v>297</v>
      </c>
      <c r="D320" s="24" t="s">
        <v>297</v>
      </c>
      <c r="E320" s="24" t="s">
        <v>297</v>
      </c>
      <c r="F320" s="24" t="s">
        <v>297</v>
      </c>
      <c r="G320" s="24" t="s">
        <v>297</v>
      </c>
      <c r="H320" s="24" t="s">
        <v>297</v>
      </c>
      <c r="I320" s="186" t="s">
        <v>297</v>
      </c>
      <c r="J320" s="187" t="s">
        <v>965</v>
      </c>
      <c r="K320" s="5" t="s">
        <v>900</v>
      </c>
      <c r="L320" s="5"/>
      <c r="M320" s="5" t="s">
        <v>383</v>
      </c>
      <c r="N320" s="5"/>
      <c r="O320" s="5"/>
      <c r="P320" s="291">
        <v>3985</v>
      </c>
      <c r="Q320" s="91"/>
      <c r="R320" s="91"/>
      <c r="S320" s="91"/>
      <c r="T320" s="91"/>
      <c r="U320" s="91"/>
      <c r="V320" s="99">
        <f t="shared" si="7"/>
        <v>3985</v>
      </c>
      <c r="W320" s="34"/>
      <c r="X320" s="34" t="s">
        <v>296</v>
      </c>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5"/>
    </row>
    <row r="321" spans="1:53" ht="15" thickBot="1" x14ac:dyDescent="0.4">
      <c r="A321" s="24" t="s">
        <v>296</v>
      </c>
      <c r="B321" s="24" t="s">
        <v>297</v>
      </c>
      <c r="C321" s="24" t="s">
        <v>297</v>
      </c>
      <c r="D321" s="24" t="s">
        <v>297</v>
      </c>
      <c r="E321" s="24" t="s">
        <v>297</v>
      </c>
      <c r="F321" s="24" t="s">
        <v>297</v>
      </c>
      <c r="G321" s="24" t="s">
        <v>297</v>
      </c>
      <c r="H321" s="24" t="s">
        <v>297</v>
      </c>
      <c r="I321" s="186" t="s">
        <v>297</v>
      </c>
      <c r="J321" s="187" t="s">
        <v>965</v>
      </c>
      <c r="K321" s="5" t="s">
        <v>901</v>
      </c>
      <c r="L321" s="5"/>
      <c r="M321" s="5" t="s">
        <v>383</v>
      </c>
      <c r="N321" s="5"/>
      <c r="O321" s="5"/>
      <c r="P321" s="291">
        <v>11607</v>
      </c>
      <c r="Q321" s="91"/>
      <c r="R321" s="91"/>
      <c r="S321" s="91"/>
      <c r="T321" s="91"/>
      <c r="U321" s="91"/>
      <c r="V321" s="99">
        <f t="shared" si="7"/>
        <v>11607</v>
      </c>
      <c r="W321" s="34"/>
      <c r="X321" s="34" t="s">
        <v>296</v>
      </c>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c r="AW321" s="34"/>
      <c r="AX321" s="34"/>
      <c r="AY321" s="34"/>
      <c r="AZ321" s="34"/>
      <c r="BA321" s="5"/>
    </row>
    <row r="322" spans="1:53" ht="15" thickBot="1" x14ac:dyDescent="0.4">
      <c r="A322" s="24" t="s">
        <v>296</v>
      </c>
      <c r="B322" s="24" t="s">
        <v>297</v>
      </c>
      <c r="C322" s="24" t="s">
        <v>297</v>
      </c>
      <c r="D322" s="24" t="s">
        <v>297</v>
      </c>
      <c r="E322" s="24" t="s">
        <v>297</v>
      </c>
      <c r="F322" s="24" t="s">
        <v>297</v>
      </c>
      <c r="G322" s="24" t="s">
        <v>297</v>
      </c>
      <c r="H322" s="24" t="s">
        <v>297</v>
      </c>
      <c r="I322" s="186" t="s">
        <v>297</v>
      </c>
      <c r="J322" s="187" t="s">
        <v>965</v>
      </c>
      <c r="K322" s="5" t="s">
        <v>902</v>
      </c>
      <c r="L322" s="5"/>
      <c r="M322" s="5" t="s">
        <v>383</v>
      </c>
      <c r="N322" s="5"/>
      <c r="O322" s="5"/>
      <c r="P322" s="291">
        <v>11698</v>
      </c>
      <c r="Q322" s="91"/>
      <c r="R322" s="91"/>
      <c r="S322" s="91"/>
      <c r="T322" s="91"/>
      <c r="U322" s="91"/>
      <c r="V322" s="99">
        <f t="shared" si="7"/>
        <v>11698</v>
      </c>
      <c r="W322" s="34"/>
      <c r="X322" s="34" t="s">
        <v>296</v>
      </c>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c r="AX322" s="34"/>
      <c r="AY322" s="34"/>
      <c r="AZ322" s="34"/>
      <c r="BA322" s="5"/>
    </row>
    <row r="323" spans="1:53" ht="15" thickBot="1" x14ac:dyDescent="0.4">
      <c r="A323" s="24" t="s">
        <v>296</v>
      </c>
      <c r="B323" s="24" t="s">
        <v>297</v>
      </c>
      <c r="C323" s="24" t="s">
        <v>297</v>
      </c>
      <c r="D323" s="24" t="s">
        <v>297</v>
      </c>
      <c r="E323" s="24" t="s">
        <v>297</v>
      </c>
      <c r="F323" s="24" t="s">
        <v>297</v>
      </c>
      <c r="G323" s="24" t="s">
        <v>297</v>
      </c>
      <c r="H323" s="24" t="s">
        <v>297</v>
      </c>
      <c r="I323" s="186" t="s">
        <v>297</v>
      </c>
      <c r="J323" s="187" t="s">
        <v>965</v>
      </c>
      <c r="K323" s="5" t="s">
        <v>903</v>
      </c>
      <c r="L323" s="5"/>
      <c r="M323" s="5" t="s">
        <v>383</v>
      </c>
      <c r="N323" s="5"/>
      <c r="O323" s="5"/>
      <c r="P323" s="291">
        <v>5758</v>
      </c>
      <c r="Q323" s="91"/>
      <c r="R323" s="91"/>
      <c r="S323" s="91"/>
      <c r="T323" s="91"/>
      <c r="U323" s="91"/>
      <c r="V323" s="99">
        <f t="shared" si="7"/>
        <v>5758</v>
      </c>
      <c r="W323" s="34"/>
      <c r="X323" s="34" t="s">
        <v>296</v>
      </c>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5"/>
    </row>
    <row r="324" spans="1:53" ht="15" thickBot="1" x14ac:dyDescent="0.4">
      <c r="A324" s="24" t="s">
        <v>296</v>
      </c>
      <c r="B324" s="24" t="s">
        <v>297</v>
      </c>
      <c r="C324" s="24" t="s">
        <v>297</v>
      </c>
      <c r="D324" s="24" t="s">
        <v>297</v>
      </c>
      <c r="E324" s="24" t="s">
        <v>297</v>
      </c>
      <c r="F324" s="24" t="s">
        <v>297</v>
      </c>
      <c r="G324" s="24" t="s">
        <v>297</v>
      </c>
      <c r="H324" s="24" t="s">
        <v>297</v>
      </c>
      <c r="I324" s="186" t="s">
        <v>297</v>
      </c>
      <c r="J324" s="187" t="s">
        <v>965</v>
      </c>
      <c r="K324" s="5" t="s">
        <v>904</v>
      </c>
      <c r="L324" s="5"/>
      <c r="M324" s="5" t="s">
        <v>383</v>
      </c>
      <c r="N324" s="5"/>
      <c r="O324" s="5"/>
      <c r="P324" s="291">
        <v>1.24</v>
      </c>
      <c r="Q324" s="91"/>
      <c r="R324" s="91"/>
      <c r="S324" s="91"/>
      <c r="T324" s="91"/>
      <c r="U324" s="91"/>
      <c r="V324" s="99">
        <f t="shared" si="7"/>
        <v>1.24</v>
      </c>
      <c r="W324" s="34"/>
      <c r="X324" s="34" t="s">
        <v>296</v>
      </c>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c r="AX324" s="34"/>
      <c r="AY324" s="34"/>
      <c r="AZ324" s="34"/>
      <c r="BA324" s="5"/>
    </row>
    <row r="325" spans="1:53" ht="15" thickBot="1" x14ac:dyDescent="0.4">
      <c r="A325" s="24" t="s">
        <v>296</v>
      </c>
      <c r="B325" s="24" t="s">
        <v>297</v>
      </c>
      <c r="C325" s="24" t="s">
        <v>297</v>
      </c>
      <c r="D325" s="24" t="s">
        <v>297</v>
      </c>
      <c r="E325" s="24" t="s">
        <v>297</v>
      </c>
      <c r="F325" s="24" t="s">
        <v>297</v>
      </c>
      <c r="G325" s="24" t="s">
        <v>297</v>
      </c>
      <c r="H325" s="24" t="s">
        <v>297</v>
      </c>
      <c r="I325" s="186" t="s">
        <v>297</v>
      </c>
      <c r="J325" s="187" t="s">
        <v>965</v>
      </c>
      <c r="K325" s="5" t="s">
        <v>905</v>
      </c>
      <c r="L325" s="5"/>
      <c r="M325" s="5" t="s">
        <v>383</v>
      </c>
      <c r="N325" s="5"/>
      <c r="O325" s="5"/>
      <c r="P325" s="291">
        <v>7</v>
      </c>
      <c r="Q325" s="91"/>
      <c r="R325" s="91"/>
      <c r="S325" s="91"/>
      <c r="T325" s="91"/>
      <c r="U325" s="91"/>
      <c r="V325" s="99">
        <f t="shared" si="7"/>
        <v>7</v>
      </c>
      <c r="W325" s="34"/>
      <c r="X325" s="34" t="s">
        <v>296</v>
      </c>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5"/>
    </row>
    <row r="326" spans="1:53" ht="15" thickBot="1" x14ac:dyDescent="0.4">
      <c r="A326" s="24" t="s">
        <v>296</v>
      </c>
      <c r="B326" s="24" t="s">
        <v>297</v>
      </c>
      <c r="C326" s="24" t="s">
        <v>297</v>
      </c>
      <c r="D326" s="24" t="s">
        <v>297</v>
      </c>
      <c r="E326" s="24" t="s">
        <v>297</v>
      </c>
      <c r="F326" s="24" t="s">
        <v>297</v>
      </c>
      <c r="G326" s="24" t="s">
        <v>297</v>
      </c>
      <c r="H326" s="24" t="s">
        <v>297</v>
      </c>
      <c r="I326" s="186" t="s">
        <v>297</v>
      </c>
      <c r="J326" s="187" t="s">
        <v>965</v>
      </c>
      <c r="K326" s="5" t="s">
        <v>906</v>
      </c>
      <c r="L326" s="5"/>
      <c r="M326" s="5" t="s">
        <v>383</v>
      </c>
      <c r="N326" s="5"/>
      <c r="O326" s="5"/>
      <c r="P326" s="291">
        <v>196</v>
      </c>
      <c r="Q326" s="91"/>
      <c r="R326" s="91"/>
      <c r="S326" s="91"/>
      <c r="T326" s="91"/>
      <c r="U326" s="91"/>
      <c r="V326" s="99">
        <f t="shared" si="7"/>
        <v>196</v>
      </c>
      <c r="W326" s="34"/>
      <c r="X326" s="34" t="s">
        <v>296</v>
      </c>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5"/>
    </row>
    <row r="327" spans="1:53" ht="26.5" thickBot="1" x14ac:dyDescent="0.4">
      <c r="A327" s="24" t="s">
        <v>296</v>
      </c>
      <c r="B327" s="24" t="s">
        <v>297</v>
      </c>
      <c r="C327" s="24" t="s">
        <v>297</v>
      </c>
      <c r="D327" s="24" t="s">
        <v>297</v>
      </c>
      <c r="E327" s="24" t="s">
        <v>297</v>
      </c>
      <c r="F327" s="24" t="s">
        <v>297</v>
      </c>
      <c r="G327" s="24" t="s">
        <v>297</v>
      </c>
      <c r="H327" s="24" t="s">
        <v>297</v>
      </c>
      <c r="I327" s="186" t="s">
        <v>297</v>
      </c>
      <c r="J327" s="187" t="s">
        <v>965</v>
      </c>
      <c r="K327" s="5" t="s">
        <v>907</v>
      </c>
      <c r="L327" s="5"/>
      <c r="M327" s="5" t="s">
        <v>383</v>
      </c>
      <c r="N327" s="5"/>
      <c r="O327" s="5"/>
      <c r="P327" s="291">
        <v>4660</v>
      </c>
      <c r="Q327" s="91"/>
      <c r="R327" s="91"/>
      <c r="S327" s="91"/>
      <c r="T327" s="91"/>
      <c r="U327" s="91"/>
      <c r="V327" s="99">
        <f t="shared" si="7"/>
        <v>4660</v>
      </c>
      <c r="W327" s="34"/>
      <c r="X327" s="34" t="s">
        <v>296</v>
      </c>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c r="AX327" s="34"/>
      <c r="AY327" s="34"/>
      <c r="AZ327" s="34"/>
      <c r="BA327" s="5"/>
    </row>
    <row r="328" spans="1:53" ht="26.5" thickBot="1" x14ac:dyDescent="0.4">
      <c r="A328" s="24" t="s">
        <v>296</v>
      </c>
      <c r="B328" s="24" t="s">
        <v>297</v>
      </c>
      <c r="C328" s="24" t="s">
        <v>297</v>
      </c>
      <c r="D328" s="24" t="s">
        <v>297</v>
      </c>
      <c r="E328" s="24" t="s">
        <v>297</v>
      </c>
      <c r="F328" s="24" t="s">
        <v>297</v>
      </c>
      <c r="G328" s="24" t="s">
        <v>297</v>
      </c>
      <c r="H328" s="24" t="s">
        <v>297</v>
      </c>
      <c r="I328" s="186" t="s">
        <v>297</v>
      </c>
      <c r="J328" s="187" t="s">
        <v>965</v>
      </c>
      <c r="K328" s="5" t="s">
        <v>908</v>
      </c>
      <c r="L328" s="5"/>
      <c r="M328" s="5" t="s">
        <v>383</v>
      </c>
      <c r="N328" s="5"/>
      <c r="O328" s="5"/>
      <c r="P328" s="291">
        <v>10200</v>
      </c>
      <c r="Q328" s="91"/>
      <c r="R328" s="91"/>
      <c r="S328" s="91"/>
      <c r="T328" s="91"/>
      <c r="U328" s="91"/>
      <c r="V328" s="99">
        <f t="shared" si="7"/>
        <v>10200</v>
      </c>
      <c r="W328" s="34"/>
      <c r="X328" s="34" t="s">
        <v>296</v>
      </c>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5"/>
    </row>
    <row r="329" spans="1:53" ht="15" thickBot="1" x14ac:dyDescent="0.4">
      <c r="A329" s="24" t="s">
        <v>296</v>
      </c>
      <c r="B329" s="24" t="s">
        <v>297</v>
      </c>
      <c r="C329" s="24" t="s">
        <v>297</v>
      </c>
      <c r="D329" s="24" t="s">
        <v>297</v>
      </c>
      <c r="E329" s="24" t="s">
        <v>297</v>
      </c>
      <c r="F329" s="24" t="s">
        <v>297</v>
      </c>
      <c r="G329" s="24" t="s">
        <v>297</v>
      </c>
      <c r="H329" s="24" t="s">
        <v>297</v>
      </c>
      <c r="I329" s="186" t="s">
        <v>297</v>
      </c>
      <c r="J329" s="187" t="s">
        <v>965</v>
      </c>
      <c r="K329" s="5" t="s">
        <v>909</v>
      </c>
      <c r="L329" s="5"/>
      <c r="M329" s="5" t="s">
        <v>383</v>
      </c>
      <c r="N329" s="5"/>
      <c r="O329" s="5"/>
      <c r="P329" s="291">
        <v>13900</v>
      </c>
      <c r="Q329" s="91"/>
      <c r="R329" s="91"/>
      <c r="S329" s="91"/>
      <c r="T329" s="91"/>
      <c r="U329" s="91"/>
      <c r="V329" s="99">
        <f t="shared" si="7"/>
        <v>13900</v>
      </c>
      <c r="W329" s="34"/>
      <c r="X329" s="34" t="s">
        <v>296</v>
      </c>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5"/>
    </row>
    <row r="330" spans="1:53" ht="15" thickBot="1" x14ac:dyDescent="0.4">
      <c r="A330" s="24" t="s">
        <v>296</v>
      </c>
      <c r="B330" s="24" t="s">
        <v>297</v>
      </c>
      <c r="C330" s="24" t="s">
        <v>297</v>
      </c>
      <c r="D330" s="24" t="s">
        <v>297</v>
      </c>
      <c r="E330" s="24" t="s">
        <v>297</v>
      </c>
      <c r="F330" s="24" t="s">
        <v>297</v>
      </c>
      <c r="G330" s="24" t="s">
        <v>297</v>
      </c>
      <c r="H330" s="24" t="s">
        <v>297</v>
      </c>
      <c r="I330" s="186" t="s">
        <v>297</v>
      </c>
      <c r="J330" s="187" t="s">
        <v>965</v>
      </c>
      <c r="K330" s="5" t="s">
        <v>910</v>
      </c>
      <c r="L330" s="5"/>
      <c r="M330" s="5" t="s">
        <v>383</v>
      </c>
      <c r="N330" s="5"/>
      <c r="O330" s="5"/>
      <c r="P330" s="291">
        <v>5820</v>
      </c>
      <c r="Q330" s="91"/>
      <c r="R330" s="91"/>
      <c r="S330" s="91"/>
      <c r="T330" s="91"/>
      <c r="U330" s="91"/>
      <c r="V330" s="99">
        <f t="shared" si="7"/>
        <v>5820</v>
      </c>
      <c r="W330" s="34"/>
      <c r="X330" s="34" t="s">
        <v>296</v>
      </c>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c r="AX330" s="34"/>
      <c r="AY330" s="34"/>
      <c r="AZ330" s="34"/>
      <c r="BA330" s="5"/>
    </row>
    <row r="331" spans="1:53" ht="15" thickBot="1" x14ac:dyDescent="0.4">
      <c r="A331" s="24" t="s">
        <v>296</v>
      </c>
      <c r="B331" s="24" t="s">
        <v>297</v>
      </c>
      <c r="C331" s="24" t="s">
        <v>297</v>
      </c>
      <c r="D331" s="24" t="s">
        <v>297</v>
      </c>
      <c r="E331" s="24" t="s">
        <v>297</v>
      </c>
      <c r="F331" s="24" t="s">
        <v>297</v>
      </c>
      <c r="G331" s="24" t="s">
        <v>297</v>
      </c>
      <c r="H331" s="24" t="s">
        <v>297</v>
      </c>
      <c r="I331" s="186" t="s">
        <v>297</v>
      </c>
      <c r="J331" s="187" t="s">
        <v>965</v>
      </c>
      <c r="K331" s="5" t="s">
        <v>911</v>
      </c>
      <c r="L331" s="5"/>
      <c r="M331" s="5" t="s">
        <v>383</v>
      </c>
      <c r="N331" s="5"/>
      <c r="O331" s="5"/>
      <c r="P331" s="291">
        <v>8590</v>
      </c>
      <c r="Q331" s="91"/>
      <c r="R331" s="91"/>
      <c r="S331" s="91"/>
      <c r="T331" s="91"/>
      <c r="U331" s="91"/>
      <c r="V331" s="99">
        <f t="shared" si="7"/>
        <v>8590</v>
      </c>
      <c r="W331" s="34"/>
      <c r="X331" s="34" t="s">
        <v>296</v>
      </c>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5"/>
    </row>
    <row r="332" spans="1:53" ht="15" thickBot="1" x14ac:dyDescent="0.4">
      <c r="A332" s="24" t="s">
        <v>296</v>
      </c>
      <c r="B332" s="24" t="s">
        <v>297</v>
      </c>
      <c r="C332" s="24" t="s">
        <v>297</v>
      </c>
      <c r="D332" s="24" t="s">
        <v>297</v>
      </c>
      <c r="E332" s="24" t="s">
        <v>297</v>
      </c>
      <c r="F332" s="24" t="s">
        <v>297</v>
      </c>
      <c r="G332" s="24" t="s">
        <v>297</v>
      </c>
      <c r="H332" s="24" t="s">
        <v>297</v>
      </c>
      <c r="I332" s="186" t="s">
        <v>297</v>
      </c>
      <c r="J332" s="187" t="s">
        <v>965</v>
      </c>
      <c r="K332" s="5" t="s">
        <v>912</v>
      </c>
      <c r="L332" s="5"/>
      <c r="M332" s="5" t="s">
        <v>383</v>
      </c>
      <c r="N332" s="5"/>
      <c r="O332" s="5"/>
      <c r="P332" s="291">
        <v>7670</v>
      </c>
      <c r="Q332" s="91"/>
      <c r="R332" s="91"/>
      <c r="S332" s="91"/>
      <c r="T332" s="91"/>
      <c r="U332" s="91"/>
      <c r="V332" s="99">
        <f t="shared" si="7"/>
        <v>7670</v>
      </c>
      <c r="W332" s="34"/>
      <c r="X332" s="34" t="s">
        <v>296</v>
      </c>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5"/>
    </row>
    <row r="333" spans="1:53" ht="15" thickBot="1" x14ac:dyDescent="0.4">
      <c r="A333" s="24" t="s">
        <v>296</v>
      </c>
      <c r="B333" s="24" t="s">
        <v>297</v>
      </c>
      <c r="C333" s="24" t="s">
        <v>297</v>
      </c>
      <c r="D333" s="24" t="s">
        <v>297</v>
      </c>
      <c r="E333" s="24" t="s">
        <v>297</v>
      </c>
      <c r="F333" s="24" t="s">
        <v>297</v>
      </c>
      <c r="G333" s="24" t="s">
        <v>297</v>
      </c>
      <c r="H333" s="24" t="s">
        <v>297</v>
      </c>
      <c r="I333" s="186" t="s">
        <v>297</v>
      </c>
      <c r="J333" s="187" t="s">
        <v>965</v>
      </c>
      <c r="K333" s="5" t="s">
        <v>913</v>
      </c>
      <c r="L333" s="5"/>
      <c r="M333" s="5" t="s">
        <v>383</v>
      </c>
      <c r="N333" s="5"/>
      <c r="O333" s="5"/>
      <c r="P333" s="291">
        <v>1750</v>
      </c>
      <c r="Q333" s="91"/>
      <c r="R333" s="91"/>
      <c r="S333" s="91"/>
      <c r="T333" s="91"/>
      <c r="U333" s="91"/>
      <c r="V333" s="99">
        <f t="shared" si="7"/>
        <v>1750</v>
      </c>
      <c r="W333" s="34"/>
      <c r="X333" s="34" t="s">
        <v>296</v>
      </c>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5"/>
    </row>
    <row r="334" spans="1:53" ht="15" thickBot="1" x14ac:dyDescent="0.4">
      <c r="A334" s="24" t="s">
        <v>296</v>
      </c>
      <c r="B334" s="24" t="s">
        <v>297</v>
      </c>
      <c r="C334" s="24" t="s">
        <v>297</v>
      </c>
      <c r="D334" s="24" t="s">
        <v>297</v>
      </c>
      <c r="E334" s="24" t="s">
        <v>297</v>
      </c>
      <c r="F334" s="24" t="s">
        <v>297</v>
      </c>
      <c r="G334" s="24" t="s">
        <v>297</v>
      </c>
      <c r="H334" s="24" t="s">
        <v>297</v>
      </c>
      <c r="I334" s="186" t="s">
        <v>297</v>
      </c>
      <c r="J334" s="187" t="s">
        <v>965</v>
      </c>
      <c r="K334" s="5" t="s">
        <v>914</v>
      </c>
      <c r="L334" s="5"/>
      <c r="M334" s="5" t="s">
        <v>383</v>
      </c>
      <c r="N334" s="5"/>
      <c r="O334" s="5"/>
      <c r="P334" s="291">
        <v>6290</v>
      </c>
      <c r="Q334" s="91"/>
      <c r="R334" s="91"/>
      <c r="S334" s="91"/>
      <c r="T334" s="91"/>
      <c r="U334" s="91"/>
      <c r="V334" s="99">
        <f t="shared" si="7"/>
        <v>6290</v>
      </c>
      <c r="W334" s="34"/>
      <c r="X334" s="34" t="s">
        <v>296</v>
      </c>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5"/>
    </row>
    <row r="335" spans="1:53" ht="15" thickBot="1" x14ac:dyDescent="0.4">
      <c r="A335" s="24" t="s">
        <v>296</v>
      </c>
      <c r="B335" s="24" t="s">
        <v>297</v>
      </c>
      <c r="C335" s="24" t="s">
        <v>297</v>
      </c>
      <c r="D335" s="24" t="s">
        <v>297</v>
      </c>
      <c r="E335" s="24" t="s">
        <v>297</v>
      </c>
      <c r="F335" s="24" t="s">
        <v>297</v>
      </c>
      <c r="G335" s="24" t="s">
        <v>297</v>
      </c>
      <c r="H335" s="24" t="s">
        <v>297</v>
      </c>
      <c r="I335" s="186" t="s">
        <v>297</v>
      </c>
      <c r="J335" s="187" t="s">
        <v>965</v>
      </c>
      <c r="K335" s="5" t="s">
        <v>915</v>
      </c>
      <c r="L335" s="5"/>
      <c r="M335" s="5" t="s">
        <v>383</v>
      </c>
      <c r="N335" s="5"/>
      <c r="O335" s="5"/>
      <c r="P335" s="291">
        <v>1470</v>
      </c>
      <c r="Q335" s="91"/>
      <c r="R335" s="91"/>
      <c r="S335" s="91"/>
      <c r="T335" s="91"/>
      <c r="U335" s="91"/>
      <c r="V335" s="99">
        <f t="shared" si="7"/>
        <v>1470</v>
      </c>
      <c r="W335" s="34"/>
      <c r="X335" s="34" t="s">
        <v>296</v>
      </c>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5"/>
    </row>
    <row r="336" spans="1:53" ht="15" thickBot="1" x14ac:dyDescent="0.4">
      <c r="A336" s="24" t="s">
        <v>296</v>
      </c>
      <c r="B336" s="24" t="s">
        <v>297</v>
      </c>
      <c r="C336" s="24" t="s">
        <v>297</v>
      </c>
      <c r="D336" s="24" t="s">
        <v>297</v>
      </c>
      <c r="E336" s="24" t="s">
        <v>297</v>
      </c>
      <c r="F336" s="24" t="s">
        <v>297</v>
      </c>
      <c r="G336" s="24" t="s">
        <v>297</v>
      </c>
      <c r="H336" s="24" t="s">
        <v>297</v>
      </c>
      <c r="I336" s="186" t="s">
        <v>297</v>
      </c>
      <c r="J336" s="187" t="s">
        <v>965</v>
      </c>
      <c r="K336" s="5" t="s">
        <v>916</v>
      </c>
      <c r="L336" s="5"/>
      <c r="M336" s="5" t="s">
        <v>383</v>
      </c>
      <c r="N336" s="5"/>
      <c r="O336" s="5"/>
      <c r="P336" s="291">
        <v>1730</v>
      </c>
      <c r="Q336" s="91"/>
      <c r="R336" s="91"/>
      <c r="S336" s="91"/>
      <c r="T336" s="91"/>
      <c r="U336" s="91"/>
      <c r="V336" s="99">
        <f t="shared" si="7"/>
        <v>1730</v>
      </c>
      <c r="W336" s="34"/>
      <c r="X336" s="34" t="s">
        <v>296</v>
      </c>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5"/>
    </row>
    <row r="337" spans="1:53" ht="15" thickBot="1" x14ac:dyDescent="0.4">
      <c r="A337" s="24" t="s">
        <v>296</v>
      </c>
      <c r="B337" s="24" t="s">
        <v>297</v>
      </c>
      <c r="C337" s="24" t="s">
        <v>297</v>
      </c>
      <c r="D337" s="24" t="s">
        <v>297</v>
      </c>
      <c r="E337" s="24" t="s">
        <v>297</v>
      </c>
      <c r="F337" s="24" t="s">
        <v>297</v>
      </c>
      <c r="G337" s="24" t="s">
        <v>297</v>
      </c>
      <c r="H337" s="24" t="s">
        <v>297</v>
      </c>
      <c r="I337" s="186" t="s">
        <v>297</v>
      </c>
      <c r="J337" s="187" t="s">
        <v>965</v>
      </c>
      <c r="K337" s="5" t="s">
        <v>917</v>
      </c>
      <c r="L337" s="5"/>
      <c r="M337" s="5" t="s">
        <v>383</v>
      </c>
      <c r="N337" s="5"/>
      <c r="O337" s="5"/>
      <c r="P337" s="291">
        <v>2</v>
      </c>
      <c r="Q337" s="91"/>
      <c r="R337" s="91"/>
      <c r="S337" s="91"/>
      <c r="T337" s="91"/>
      <c r="U337" s="91"/>
      <c r="V337" s="99">
        <f t="shared" si="7"/>
        <v>2</v>
      </c>
      <c r="W337" s="34"/>
      <c r="X337" s="34" t="s">
        <v>296</v>
      </c>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5"/>
    </row>
    <row r="338" spans="1:53" ht="15" thickBot="1" x14ac:dyDescent="0.4">
      <c r="A338" s="24" t="s">
        <v>296</v>
      </c>
      <c r="B338" s="24" t="s">
        <v>297</v>
      </c>
      <c r="C338" s="24" t="s">
        <v>297</v>
      </c>
      <c r="D338" s="24" t="s">
        <v>297</v>
      </c>
      <c r="E338" s="24" t="s">
        <v>297</v>
      </c>
      <c r="F338" s="24" t="s">
        <v>297</v>
      </c>
      <c r="G338" s="24" t="s">
        <v>297</v>
      </c>
      <c r="H338" s="24" t="s">
        <v>297</v>
      </c>
      <c r="I338" s="186" t="s">
        <v>297</v>
      </c>
      <c r="J338" s="187" t="s">
        <v>965</v>
      </c>
      <c r="K338" s="5" t="s">
        <v>918</v>
      </c>
      <c r="L338" s="5"/>
      <c r="M338" s="5" t="s">
        <v>383</v>
      </c>
      <c r="N338" s="5"/>
      <c r="O338" s="5"/>
      <c r="P338" s="291">
        <v>160</v>
      </c>
      <c r="Q338" s="91"/>
      <c r="R338" s="91"/>
      <c r="S338" s="91"/>
      <c r="T338" s="91"/>
      <c r="U338" s="91"/>
      <c r="V338" s="99">
        <f t="shared" ref="V338:V381" si="8">ROUND(SUM(P338:U338),3)</f>
        <v>160</v>
      </c>
      <c r="W338" s="34"/>
      <c r="X338" s="34" t="s">
        <v>296</v>
      </c>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5"/>
    </row>
    <row r="339" spans="1:53" ht="26.5" thickBot="1" x14ac:dyDescent="0.4">
      <c r="A339" s="24" t="s">
        <v>296</v>
      </c>
      <c r="B339" s="24" t="s">
        <v>297</v>
      </c>
      <c r="C339" s="24" t="s">
        <v>297</v>
      </c>
      <c r="D339" s="24" t="s">
        <v>297</v>
      </c>
      <c r="E339" s="24" t="s">
        <v>297</v>
      </c>
      <c r="F339" s="24" t="s">
        <v>297</v>
      </c>
      <c r="G339" s="24" t="s">
        <v>297</v>
      </c>
      <c r="H339" s="24" t="s">
        <v>297</v>
      </c>
      <c r="I339" s="186" t="s">
        <v>297</v>
      </c>
      <c r="J339" s="187" t="s">
        <v>965</v>
      </c>
      <c r="K339" s="5" t="s">
        <v>919</v>
      </c>
      <c r="L339" s="5"/>
      <c r="M339" s="5" t="s">
        <v>383</v>
      </c>
      <c r="N339" s="5"/>
      <c r="O339" s="5"/>
      <c r="P339" s="291">
        <v>1760</v>
      </c>
      <c r="Q339" s="91"/>
      <c r="R339" s="91"/>
      <c r="S339" s="91"/>
      <c r="T339" s="91"/>
      <c r="U339" s="91"/>
      <c r="V339" s="99">
        <f t="shared" si="8"/>
        <v>1760</v>
      </c>
      <c r="W339" s="34"/>
      <c r="X339" s="34" t="s">
        <v>296</v>
      </c>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c r="AX339" s="34"/>
      <c r="AY339" s="34"/>
      <c r="AZ339" s="34"/>
      <c r="BA339" s="5"/>
    </row>
    <row r="340" spans="1:53" ht="15" thickBot="1" x14ac:dyDescent="0.4">
      <c r="A340" s="24" t="s">
        <v>296</v>
      </c>
      <c r="B340" s="24" t="s">
        <v>297</v>
      </c>
      <c r="C340" s="24" t="s">
        <v>297</v>
      </c>
      <c r="D340" s="24" t="s">
        <v>297</v>
      </c>
      <c r="E340" s="24" t="s">
        <v>297</v>
      </c>
      <c r="F340" s="24" t="s">
        <v>297</v>
      </c>
      <c r="G340" s="24" t="s">
        <v>297</v>
      </c>
      <c r="H340" s="24" t="s">
        <v>297</v>
      </c>
      <c r="I340" s="186" t="s">
        <v>297</v>
      </c>
      <c r="J340" s="187" t="s">
        <v>965</v>
      </c>
      <c r="K340" s="5" t="s">
        <v>920</v>
      </c>
      <c r="L340" s="5"/>
      <c r="M340" s="5" t="s">
        <v>383</v>
      </c>
      <c r="N340" s="5"/>
      <c r="O340" s="5"/>
      <c r="P340" s="291">
        <v>79</v>
      </c>
      <c r="Q340" s="91"/>
      <c r="R340" s="91"/>
      <c r="S340" s="91"/>
      <c r="T340" s="91"/>
      <c r="U340" s="91"/>
      <c r="V340" s="99">
        <f t="shared" si="8"/>
        <v>79</v>
      </c>
      <c r="W340" s="34"/>
      <c r="X340" s="34" t="s">
        <v>296</v>
      </c>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5"/>
    </row>
    <row r="341" spans="1:53" ht="15" thickBot="1" x14ac:dyDescent="0.4">
      <c r="A341" s="24" t="s">
        <v>296</v>
      </c>
      <c r="B341" s="24" t="s">
        <v>297</v>
      </c>
      <c r="C341" s="24" t="s">
        <v>297</v>
      </c>
      <c r="D341" s="24" t="s">
        <v>297</v>
      </c>
      <c r="E341" s="24" t="s">
        <v>297</v>
      </c>
      <c r="F341" s="24" t="s">
        <v>297</v>
      </c>
      <c r="G341" s="24" t="s">
        <v>297</v>
      </c>
      <c r="H341" s="24" t="s">
        <v>297</v>
      </c>
      <c r="I341" s="186" t="s">
        <v>297</v>
      </c>
      <c r="J341" s="187" t="s">
        <v>965</v>
      </c>
      <c r="K341" s="5" t="s">
        <v>921</v>
      </c>
      <c r="L341" s="5"/>
      <c r="M341" s="5" t="s">
        <v>383</v>
      </c>
      <c r="N341" s="5"/>
      <c r="O341" s="5"/>
      <c r="P341" s="291">
        <v>527</v>
      </c>
      <c r="Q341" s="91"/>
      <c r="R341" s="91"/>
      <c r="S341" s="91"/>
      <c r="T341" s="91"/>
      <c r="U341" s="91"/>
      <c r="V341" s="99">
        <f t="shared" si="8"/>
        <v>527</v>
      </c>
      <c r="W341" s="34"/>
      <c r="X341" s="34" t="s">
        <v>296</v>
      </c>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5"/>
    </row>
    <row r="342" spans="1:53" ht="15" thickBot="1" x14ac:dyDescent="0.4">
      <c r="A342" s="24" t="s">
        <v>296</v>
      </c>
      <c r="B342" s="24" t="s">
        <v>297</v>
      </c>
      <c r="C342" s="24" t="s">
        <v>297</v>
      </c>
      <c r="D342" s="24" t="s">
        <v>297</v>
      </c>
      <c r="E342" s="24" t="s">
        <v>297</v>
      </c>
      <c r="F342" s="24" t="s">
        <v>297</v>
      </c>
      <c r="G342" s="24" t="s">
        <v>297</v>
      </c>
      <c r="H342" s="24" t="s">
        <v>297</v>
      </c>
      <c r="I342" s="186" t="s">
        <v>297</v>
      </c>
      <c r="J342" s="187" t="s">
        <v>965</v>
      </c>
      <c r="K342" s="5" t="s">
        <v>922</v>
      </c>
      <c r="L342" s="5"/>
      <c r="M342" s="5" t="s">
        <v>383</v>
      </c>
      <c r="N342" s="5"/>
      <c r="O342" s="5"/>
      <c r="P342" s="291">
        <v>782</v>
      </c>
      <c r="Q342" s="91"/>
      <c r="R342" s="91"/>
      <c r="S342" s="91"/>
      <c r="T342" s="91"/>
      <c r="U342" s="91"/>
      <c r="V342" s="99">
        <f t="shared" si="8"/>
        <v>782</v>
      </c>
      <c r="W342" s="34"/>
      <c r="X342" s="34" t="s">
        <v>296</v>
      </c>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5"/>
    </row>
    <row r="343" spans="1:53" ht="15" thickBot="1" x14ac:dyDescent="0.4">
      <c r="A343" s="24" t="s">
        <v>296</v>
      </c>
      <c r="B343" s="24" t="s">
        <v>297</v>
      </c>
      <c r="C343" s="24" t="s">
        <v>297</v>
      </c>
      <c r="D343" s="24" t="s">
        <v>297</v>
      </c>
      <c r="E343" s="24" t="s">
        <v>297</v>
      </c>
      <c r="F343" s="24" t="s">
        <v>297</v>
      </c>
      <c r="G343" s="24" t="s">
        <v>297</v>
      </c>
      <c r="H343" s="24" t="s">
        <v>297</v>
      </c>
      <c r="I343" s="186" t="s">
        <v>297</v>
      </c>
      <c r="J343" s="187" t="s">
        <v>965</v>
      </c>
      <c r="K343" s="5" t="s">
        <v>923</v>
      </c>
      <c r="L343" s="5"/>
      <c r="M343" s="5" t="s">
        <v>383</v>
      </c>
      <c r="N343" s="5"/>
      <c r="O343" s="5"/>
      <c r="P343" s="291">
        <v>1980</v>
      </c>
      <c r="Q343" s="91"/>
      <c r="R343" s="91"/>
      <c r="S343" s="91"/>
      <c r="T343" s="91"/>
      <c r="U343" s="91"/>
      <c r="V343" s="99">
        <f t="shared" si="8"/>
        <v>1980</v>
      </c>
      <c r="W343" s="34"/>
      <c r="X343" s="34" t="s">
        <v>296</v>
      </c>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5"/>
    </row>
    <row r="344" spans="1:53" ht="15" thickBot="1" x14ac:dyDescent="0.4">
      <c r="A344" s="24" t="s">
        <v>296</v>
      </c>
      <c r="B344" s="24" t="s">
        <v>297</v>
      </c>
      <c r="C344" s="24" t="s">
        <v>297</v>
      </c>
      <c r="D344" s="24" t="s">
        <v>297</v>
      </c>
      <c r="E344" s="24" t="s">
        <v>297</v>
      </c>
      <c r="F344" s="24" t="s">
        <v>297</v>
      </c>
      <c r="G344" s="24" t="s">
        <v>297</v>
      </c>
      <c r="H344" s="24" t="s">
        <v>297</v>
      </c>
      <c r="I344" s="186" t="s">
        <v>297</v>
      </c>
      <c r="J344" s="187" t="s">
        <v>965</v>
      </c>
      <c r="K344" s="5" t="s">
        <v>924</v>
      </c>
      <c r="L344" s="5"/>
      <c r="M344" s="5" t="s">
        <v>383</v>
      </c>
      <c r="N344" s="5"/>
      <c r="O344" s="5"/>
      <c r="P344" s="291">
        <v>127</v>
      </c>
      <c r="Q344" s="91"/>
      <c r="R344" s="91"/>
      <c r="S344" s="91"/>
      <c r="T344" s="91"/>
      <c r="U344" s="91"/>
      <c r="V344" s="99">
        <f t="shared" si="8"/>
        <v>127</v>
      </c>
      <c r="W344" s="34"/>
      <c r="X344" s="34" t="s">
        <v>296</v>
      </c>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5"/>
    </row>
    <row r="345" spans="1:53" ht="15" thickBot="1" x14ac:dyDescent="0.4">
      <c r="A345" s="24" t="s">
        <v>296</v>
      </c>
      <c r="B345" s="24" t="s">
        <v>297</v>
      </c>
      <c r="C345" s="24" t="s">
        <v>297</v>
      </c>
      <c r="D345" s="24" t="s">
        <v>297</v>
      </c>
      <c r="E345" s="24" t="s">
        <v>297</v>
      </c>
      <c r="F345" s="24" t="s">
        <v>297</v>
      </c>
      <c r="G345" s="24" t="s">
        <v>297</v>
      </c>
      <c r="H345" s="24" t="s">
        <v>297</v>
      </c>
      <c r="I345" s="186" t="s">
        <v>297</v>
      </c>
      <c r="J345" s="187" t="s">
        <v>965</v>
      </c>
      <c r="K345" s="5" t="s">
        <v>925</v>
      </c>
      <c r="L345" s="5"/>
      <c r="M345" s="5" t="s">
        <v>383</v>
      </c>
      <c r="N345" s="5"/>
      <c r="O345" s="5"/>
      <c r="P345" s="291">
        <v>525</v>
      </c>
      <c r="Q345" s="91"/>
      <c r="R345" s="91"/>
      <c r="S345" s="91"/>
      <c r="T345" s="91"/>
      <c r="U345" s="91"/>
      <c r="V345" s="99">
        <f t="shared" si="8"/>
        <v>525</v>
      </c>
      <c r="W345" s="34"/>
      <c r="X345" s="34" t="s">
        <v>296</v>
      </c>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5"/>
    </row>
    <row r="346" spans="1:53" ht="15" thickBot="1" x14ac:dyDescent="0.4">
      <c r="A346" s="24" t="s">
        <v>296</v>
      </c>
      <c r="B346" s="24" t="s">
        <v>297</v>
      </c>
      <c r="C346" s="24" t="s">
        <v>297</v>
      </c>
      <c r="D346" s="24" t="s">
        <v>297</v>
      </c>
      <c r="E346" s="24" t="s">
        <v>297</v>
      </c>
      <c r="F346" s="24" t="s">
        <v>297</v>
      </c>
      <c r="G346" s="24" t="s">
        <v>297</v>
      </c>
      <c r="H346" s="24" t="s">
        <v>297</v>
      </c>
      <c r="I346" s="186" t="s">
        <v>297</v>
      </c>
      <c r="J346" s="187" t="s">
        <v>965</v>
      </c>
      <c r="K346" s="5" t="s">
        <v>926</v>
      </c>
      <c r="L346" s="5"/>
      <c r="M346" s="5" t="s">
        <v>383</v>
      </c>
      <c r="N346" s="5"/>
      <c r="O346" s="5"/>
      <c r="P346" s="291">
        <v>148</v>
      </c>
      <c r="Q346" s="91"/>
      <c r="R346" s="91"/>
      <c r="S346" s="91"/>
      <c r="T346" s="91"/>
      <c r="U346" s="91"/>
      <c r="V346" s="99">
        <f t="shared" si="8"/>
        <v>148</v>
      </c>
      <c r="W346" s="34"/>
      <c r="X346" s="34" t="s">
        <v>296</v>
      </c>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5"/>
    </row>
    <row r="347" spans="1:53" ht="15" thickBot="1" x14ac:dyDescent="0.4">
      <c r="A347" s="24" t="s">
        <v>296</v>
      </c>
      <c r="B347" s="24" t="s">
        <v>297</v>
      </c>
      <c r="C347" s="24" t="s">
        <v>297</v>
      </c>
      <c r="D347" s="24" t="s">
        <v>297</v>
      </c>
      <c r="E347" s="24" t="s">
        <v>297</v>
      </c>
      <c r="F347" s="24" t="s">
        <v>297</v>
      </c>
      <c r="G347" s="24" t="s">
        <v>297</v>
      </c>
      <c r="H347" s="24" t="s">
        <v>297</v>
      </c>
      <c r="I347" s="186" t="s">
        <v>297</v>
      </c>
      <c r="J347" s="187" t="s">
        <v>965</v>
      </c>
      <c r="K347" s="5" t="s">
        <v>927</v>
      </c>
      <c r="L347" s="5"/>
      <c r="M347" s="5" t="s">
        <v>383</v>
      </c>
      <c r="N347" s="5"/>
      <c r="O347" s="5"/>
      <c r="P347" s="291">
        <v>12400</v>
      </c>
      <c r="Q347" s="91"/>
      <c r="R347" s="91"/>
      <c r="S347" s="91"/>
      <c r="T347" s="91"/>
      <c r="U347" s="91"/>
      <c r="V347" s="99">
        <f t="shared" si="8"/>
        <v>12400</v>
      </c>
      <c r="W347" s="34"/>
      <c r="X347" s="34" t="s">
        <v>296</v>
      </c>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5"/>
    </row>
    <row r="348" spans="1:53" ht="15" thickBot="1" x14ac:dyDescent="0.4">
      <c r="A348" s="24" t="s">
        <v>296</v>
      </c>
      <c r="B348" s="24" t="s">
        <v>297</v>
      </c>
      <c r="C348" s="24" t="s">
        <v>297</v>
      </c>
      <c r="D348" s="24" t="s">
        <v>297</v>
      </c>
      <c r="E348" s="24" t="s">
        <v>297</v>
      </c>
      <c r="F348" s="24" t="s">
        <v>297</v>
      </c>
      <c r="G348" s="24" t="s">
        <v>297</v>
      </c>
      <c r="H348" s="24" t="s">
        <v>297</v>
      </c>
      <c r="I348" s="186" t="s">
        <v>297</v>
      </c>
      <c r="J348" s="187" t="s">
        <v>965</v>
      </c>
      <c r="K348" s="5" t="s">
        <v>928</v>
      </c>
      <c r="L348" s="5"/>
      <c r="M348" s="5" t="s">
        <v>383</v>
      </c>
      <c r="N348" s="5"/>
      <c r="O348" s="5"/>
      <c r="P348" s="291">
        <v>5560</v>
      </c>
      <c r="Q348" s="91"/>
      <c r="R348" s="91"/>
      <c r="S348" s="91"/>
      <c r="T348" s="91"/>
      <c r="U348" s="91"/>
      <c r="V348" s="99">
        <f t="shared" si="8"/>
        <v>5560</v>
      </c>
      <c r="W348" s="34"/>
      <c r="X348" s="34" t="s">
        <v>296</v>
      </c>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5"/>
    </row>
    <row r="349" spans="1:53" ht="15" thickBot="1" x14ac:dyDescent="0.4">
      <c r="A349" s="24" t="s">
        <v>296</v>
      </c>
      <c r="B349" s="24" t="s">
        <v>297</v>
      </c>
      <c r="C349" s="24" t="s">
        <v>297</v>
      </c>
      <c r="D349" s="24" t="s">
        <v>297</v>
      </c>
      <c r="E349" s="24" t="s">
        <v>297</v>
      </c>
      <c r="F349" s="24" t="s">
        <v>297</v>
      </c>
      <c r="G349" s="24" t="s">
        <v>297</v>
      </c>
      <c r="H349" s="24" t="s">
        <v>297</v>
      </c>
      <c r="I349" s="186" t="s">
        <v>297</v>
      </c>
      <c r="J349" s="187" t="s">
        <v>965</v>
      </c>
      <c r="K349" s="5" t="s">
        <v>929</v>
      </c>
      <c r="L349" s="5"/>
      <c r="M349" s="5" t="s">
        <v>383</v>
      </c>
      <c r="N349" s="5"/>
      <c r="O349" s="5"/>
      <c r="P349" s="291">
        <v>523</v>
      </c>
      <c r="Q349" s="91"/>
      <c r="R349" s="91"/>
      <c r="S349" s="91"/>
      <c r="T349" s="91"/>
      <c r="U349" s="91"/>
      <c r="V349" s="99">
        <f t="shared" si="8"/>
        <v>523</v>
      </c>
      <c r="W349" s="34"/>
      <c r="X349" s="34" t="s">
        <v>296</v>
      </c>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5"/>
    </row>
    <row r="350" spans="1:53" ht="15" thickBot="1" x14ac:dyDescent="0.4">
      <c r="A350" s="24" t="s">
        <v>296</v>
      </c>
      <c r="B350" s="24" t="s">
        <v>297</v>
      </c>
      <c r="C350" s="24" t="s">
        <v>297</v>
      </c>
      <c r="D350" s="24" t="s">
        <v>297</v>
      </c>
      <c r="E350" s="24" t="s">
        <v>297</v>
      </c>
      <c r="F350" s="24" t="s">
        <v>297</v>
      </c>
      <c r="G350" s="24" t="s">
        <v>297</v>
      </c>
      <c r="H350" s="24" t="s">
        <v>297</v>
      </c>
      <c r="I350" s="186" t="s">
        <v>297</v>
      </c>
      <c r="J350" s="187" t="s">
        <v>965</v>
      </c>
      <c r="K350" s="5" t="s">
        <v>930</v>
      </c>
      <c r="L350" s="5"/>
      <c r="M350" s="5" t="s">
        <v>383</v>
      </c>
      <c r="N350" s="5"/>
      <c r="O350" s="5"/>
      <c r="P350" s="291">
        <v>491</v>
      </c>
      <c r="Q350" s="91"/>
      <c r="R350" s="91"/>
      <c r="S350" s="91"/>
      <c r="T350" s="91"/>
      <c r="U350" s="91"/>
      <c r="V350" s="99">
        <f t="shared" si="8"/>
        <v>491</v>
      </c>
      <c r="W350" s="34"/>
      <c r="X350" s="34" t="s">
        <v>296</v>
      </c>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5"/>
    </row>
    <row r="351" spans="1:53" ht="15" thickBot="1" x14ac:dyDescent="0.4">
      <c r="A351" s="24" t="s">
        <v>296</v>
      </c>
      <c r="B351" s="24" t="s">
        <v>297</v>
      </c>
      <c r="C351" s="24" t="s">
        <v>297</v>
      </c>
      <c r="D351" s="24" t="s">
        <v>297</v>
      </c>
      <c r="E351" s="24" t="s">
        <v>297</v>
      </c>
      <c r="F351" s="24" t="s">
        <v>297</v>
      </c>
      <c r="G351" s="24" t="s">
        <v>297</v>
      </c>
      <c r="H351" s="24" t="s">
        <v>297</v>
      </c>
      <c r="I351" s="186" t="s">
        <v>297</v>
      </c>
      <c r="J351" s="187" t="s">
        <v>965</v>
      </c>
      <c r="K351" s="5" t="s">
        <v>931</v>
      </c>
      <c r="L351" s="5"/>
      <c r="M351" s="5" t="s">
        <v>383</v>
      </c>
      <c r="N351" s="5"/>
      <c r="O351" s="5"/>
      <c r="P351" s="291">
        <v>654</v>
      </c>
      <c r="Q351" s="91"/>
      <c r="R351" s="91"/>
      <c r="S351" s="91"/>
      <c r="T351" s="91"/>
      <c r="U351" s="91"/>
      <c r="V351" s="99">
        <f t="shared" si="8"/>
        <v>654</v>
      </c>
      <c r="W351" s="34"/>
      <c r="X351" s="34" t="s">
        <v>296</v>
      </c>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5"/>
    </row>
    <row r="352" spans="1:53" ht="15" thickBot="1" x14ac:dyDescent="0.4">
      <c r="A352" s="24" t="s">
        <v>296</v>
      </c>
      <c r="B352" s="24" t="s">
        <v>297</v>
      </c>
      <c r="C352" s="24" t="s">
        <v>297</v>
      </c>
      <c r="D352" s="24" t="s">
        <v>297</v>
      </c>
      <c r="E352" s="24" t="s">
        <v>297</v>
      </c>
      <c r="F352" s="24" t="s">
        <v>297</v>
      </c>
      <c r="G352" s="24" t="s">
        <v>297</v>
      </c>
      <c r="H352" s="24" t="s">
        <v>297</v>
      </c>
      <c r="I352" s="186" t="s">
        <v>297</v>
      </c>
      <c r="J352" s="187" t="s">
        <v>965</v>
      </c>
      <c r="K352" s="5" t="s">
        <v>932</v>
      </c>
      <c r="L352" s="5"/>
      <c r="M352" s="5" t="s">
        <v>383</v>
      </c>
      <c r="N352" s="5"/>
      <c r="O352" s="5"/>
      <c r="P352" s="291">
        <v>812</v>
      </c>
      <c r="Q352" s="91"/>
      <c r="R352" s="91"/>
      <c r="S352" s="91"/>
      <c r="T352" s="91"/>
      <c r="U352" s="91"/>
      <c r="V352" s="99">
        <f t="shared" si="8"/>
        <v>812</v>
      </c>
      <c r="W352" s="34"/>
      <c r="X352" s="34" t="s">
        <v>296</v>
      </c>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c r="AX352" s="34"/>
      <c r="AY352" s="34"/>
      <c r="AZ352" s="34"/>
      <c r="BA352" s="5"/>
    </row>
    <row r="353" spans="1:53" ht="15" thickBot="1" x14ac:dyDescent="0.4">
      <c r="A353" s="24" t="s">
        <v>296</v>
      </c>
      <c r="B353" s="24" t="s">
        <v>297</v>
      </c>
      <c r="C353" s="24" t="s">
        <v>297</v>
      </c>
      <c r="D353" s="24" t="s">
        <v>297</v>
      </c>
      <c r="E353" s="24" t="s">
        <v>297</v>
      </c>
      <c r="F353" s="24" t="s">
        <v>297</v>
      </c>
      <c r="G353" s="24" t="s">
        <v>297</v>
      </c>
      <c r="H353" s="24" t="s">
        <v>297</v>
      </c>
      <c r="I353" s="186" t="s">
        <v>297</v>
      </c>
      <c r="J353" s="187" t="s">
        <v>965</v>
      </c>
      <c r="K353" s="5" t="s">
        <v>933</v>
      </c>
      <c r="L353" s="5"/>
      <c r="M353" s="5" t="s">
        <v>383</v>
      </c>
      <c r="N353" s="5"/>
      <c r="O353" s="5"/>
      <c r="P353" s="291">
        <v>301</v>
      </c>
      <c r="Q353" s="91"/>
      <c r="R353" s="91"/>
      <c r="S353" s="91"/>
      <c r="T353" s="91"/>
      <c r="U353" s="91"/>
      <c r="V353" s="99">
        <f t="shared" si="8"/>
        <v>301</v>
      </c>
      <c r="W353" s="34"/>
      <c r="X353" s="34" t="s">
        <v>296</v>
      </c>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c r="AX353" s="34"/>
      <c r="AY353" s="34"/>
      <c r="AZ353" s="34"/>
      <c r="BA353" s="5"/>
    </row>
    <row r="354" spans="1:53" ht="15" thickBot="1" x14ac:dyDescent="0.4">
      <c r="A354" s="24" t="s">
        <v>296</v>
      </c>
      <c r="B354" s="24" t="s">
        <v>297</v>
      </c>
      <c r="C354" s="24" t="s">
        <v>297</v>
      </c>
      <c r="D354" s="24" t="s">
        <v>297</v>
      </c>
      <c r="E354" s="24" t="s">
        <v>297</v>
      </c>
      <c r="F354" s="24" t="s">
        <v>297</v>
      </c>
      <c r="G354" s="24" t="s">
        <v>297</v>
      </c>
      <c r="H354" s="24" t="s">
        <v>297</v>
      </c>
      <c r="I354" s="186" t="s">
        <v>297</v>
      </c>
      <c r="J354" s="187" t="s">
        <v>965</v>
      </c>
      <c r="K354" s="5" t="s">
        <v>934</v>
      </c>
      <c r="L354" s="5"/>
      <c r="M354" s="5" t="s">
        <v>383</v>
      </c>
      <c r="N354" s="5"/>
      <c r="O354" s="5"/>
      <c r="P354" s="291">
        <v>530</v>
      </c>
      <c r="Q354" s="91"/>
      <c r="R354" s="91"/>
      <c r="S354" s="91"/>
      <c r="T354" s="91"/>
      <c r="U354" s="91"/>
      <c r="V354" s="99">
        <f t="shared" si="8"/>
        <v>530</v>
      </c>
      <c r="W354" s="34"/>
      <c r="X354" s="34" t="s">
        <v>296</v>
      </c>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c r="AW354" s="34"/>
      <c r="AX354" s="34"/>
      <c r="AY354" s="34"/>
      <c r="AZ354" s="34"/>
      <c r="BA354" s="5"/>
    </row>
    <row r="355" spans="1:53" ht="15" thickBot="1" x14ac:dyDescent="0.4">
      <c r="A355" s="24" t="s">
        <v>296</v>
      </c>
      <c r="B355" s="24" t="s">
        <v>297</v>
      </c>
      <c r="C355" s="24" t="s">
        <v>297</v>
      </c>
      <c r="D355" s="24" t="s">
        <v>297</v>
      </c>
      <c r="E355" s="24" t="s">
        <v>297</v>
      </c>
      <c r="F355" s="24" t="s">
        <v>297</v>
      </c>
      <c r="G355" s="24" t="s">
        <v>297</v>
      </c>
      <c r="H355" s="24" t="s">
        <v>297</v>
      </c>
      <c r="I355" s="186" t="s">
        <v>297</v>
      </c>
      <c r="J355" s="187" t="s">
        <v>965</v>
      </c>
      <c r="K355" s="5" t="s">
        <v>935</v>
      </c>
      <c r="L355" s="5"/>
      <c r="M355" s="5" t="s">
        <v>383</v>
      </c>
      <c r="N355" s="5"/>
      <c r="O355" s="5"/>
      <c r="P355" s="291">
        <v>889</v>
      </c>
      <c r="Q355" s="91"/>
      <c r="R355" s="91"/>
      <c r="S355" s="91"/>
      <c r="T355" s="91"/>
      <c r="U355" s="91"/>
      <c r="V355" s="99">
        <f t="shared" si="8"/>
        <v>889</v>
      </c>
      <c r="W355" s="34"/>
      <c r="X355" s="34" t="s">
        <v>296</v>
      </c>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c r="AX355" s="34"/>
      <c r="AY355" s="34"/>
      <c r="AZ355" s="34"/>
      <c r="BA355" s="5"/>
    </row>
    <row r="356" spans="1:53" ht="15" thickBot="1" x14ac:dyDescent="0.4">
      <c r="A356" s="24" t="s">
        <v>296</v>
      </c>
      <c r="B356" s="24" t="s">
        <v>297</v>
      </c>
      <c r="C356" s="24" t="s">
        <v>297</v>
      </c>
      <c r="D356" s="24" t="s">
        <v>297</v>
      </c>
      <c r="E356" s="24" t="s">
        <v>297</v>
      </c>
      <c r="F356" s="24" t="s">
        <v>297</v>
      </c>
      <c r="G356" s="24" t="s">
        <v>297</v>
      </c>
      <c r="H356" s="24" t="s">
        <v>297</v>
      </c>
      <c r="I356" s="186" t="s">
        <v>297</v>
      </c>
      <c r="J356" s="187" t="s">
        <v>965</v>
      </c>
      <c r="K356" s="5" t="s">
        <v>936</v>
      </c>
      <c r="L356" s="5"/>
      <c r="M356" s="5" t="s">
        <v>383</v>
      </c>
      <c r="N356" s="5"/>
      <c r="O356" s="5"/>
      <c r="P356" s="291">
        <v>413</v>
      </c>
      <c r="Q356" s="91"/>
      <c r="R356" s="91"/>
      <c r="S356" s="91"/>
      <c r="T356" s="91"/>
      <c r="U356" s="91"/>
      <c r="V356" s="99">
        <f t="shared" si="8"/>
        <v>413</v>
      </c>
      <c r="W356" s="34"/>
      <c r="X356" s="34" t="s">
        <v>296</v>
      </c>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5"/>
    </row>
    <row r="357" spans="1:53" ht="15" thickBot="1" x14ac:dyDescent="0.4">
      <c r="A357" s="24" t="s">
        <v>296</v>
      </c>
      <c r="B357" s="24" t="s">
        <v>297</v>
      </c>
      <c r="C357" s="24" t="s">
        <v>297</v>
      </c>
      <c r="D357" s="24" t="s">
        <v>297</v>
      </c>
      <c r="E357" s="24" t="s">
        <v>297</v>
      </c>
      <c r="F357" s="24" t="s">
        <v>297</v>
      </c>
      <c r="G357" s="24" t="s">
        <v>297</v>
      </c>
      <c r="H357" s="24" t="s">
        <v>297</v>
      </c>
      <c r="I357" s="186" t="s">
        <v>297</v>
      </c>
      <c r="J357" s="187" t="s">
        <v>965</v>
      </c>
      <c r="K357" s="5" t="s">
        <v>937</v>
      </c>
      <c r="L357" s="5"/>
      <c r="M357" s="5" t="s">
        <v>383</v>
      </c>
      <c r="N357" s="5"/>
      <c r="O357" s="5"/>
      <c r="P357" s="291">
        <v>421</v>
      </c>
      <c r="Q357" s="91"/>
      <c r="R357" s="91"/>
      <c r="S357" s="91"/>
      <c r="T357" s="91"/>
      <c r="U357" s="91"/>
      <c r="V357" s="99">
        <f t="shared" si="8"/>
        <v>421</v>
      </c>
      <c r="W357" s="34"/>
      <c r="X357" s="34" t="s">
        <v>296</v>
      </c>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c r="AX357" s="34"/>
      <c r="AY357" s="34"/>
      <c r="AZ357" s="34"/>
      <c r="BA357" s="5"/>
    </row>
    <row r="358" spans="1:53" ht="15" thickBot="1" x14ac:dyDescent="0.4">
      <c r="A358" s="24" t="s">
        <v>296</v>
      </c>
      <c r="B358" s="24" t="s">
        <v>297</v>
      </c>
      <c r="C358" s="24" t="s">
        <v>297</v>
      </c>
      <c r="D358" s="24" t="s">
        <v>297</v>
      </c>
      <c r="E358" s="24" t="s">
        <v>297</v>
      </c>
      <c r="F358" s="24" t="s">
        <v>297</v>
      </c>
      <c r="G358" s="24" t="s">
        <v>297</v>
      </c>
      <c r="H358" s="24" t="s">
        <v>297</v>
      </c>
      <c r="I358" s="186" t="s">
        <v>297</v>
      </c>
      <c r="J358" s="187" t="s">
        <v>965</v>
      </c>
      <c r="K358" s="5" t="s">
        <v>938</v>
      </c>
      <c r="L358" s="5"/>
      <c r="M358" s="5" t="s">
        <v>383</v>
      </c>
      <c r="N358" s="5"/>
      <c r="O358" s="5"/>
      <c r="P358" s="291">
        <v>57</v>
      </c>
      <c r="Q358" s="91"/>
      <c r="R358" s="91"/>
      <c r="S358" s="91"/>
      <c r="T358" s="91"/>
      <c r="U358" s="91"/>
      <c r="V358" s="99">
        <f t="shared" si="8"/>
        <v>57</v>
      </c>
      <c r="W358" s="34"/>
      <c r="X358" s="34" t="s">
        <v>296</v>
      </c>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c r="AX358" s="34"/>
      <c r="AY358" s="34"/>
      <c r="AZ358" s="34"/>
      <c r="BA358" s="5"/>
    </row>
    <row r="359" spans="1:53" ht="26.5" thickBot="1" x14ac:dyDescent="0.4">
      <c r="A359" s="24" t="s">
        <v>296</v>
      </c>
      <c r="B359" s="24" t="s">
        <v>297</v>
      </c>
      <c r="C359" s="24" t="s">
        <v>297</v>
      </c>
      <c r="D359" s="24" t="s">
        <v>297</v>
      </c>
      <c r="E359" s="24" t="s">
        <v>297</v>
      </c>
      <c r="F359" s="24" t="s">
        <v>297</v>
      </c>
      <c r="G359" s="24" t="s">
        <v>297</v>
      </c>
      <c r="H359" s="24" t="s">
        <v>297</v>
      </c>
      <c r="I359" s="186" t="s">
        <v>297</v>
      </c>
      <c r="J359" s="187" t="s">
        <v>965</v>
      </c>
      <c r="K359" s="5" t="s">
        <v>939</v>
      </c>
      <c r="L359" s="5"/>
      <c r="M359" s="5" t="s">
        <v>383</v>
      </c>
      <c r="N359" s="5"/>
      <c r="O359" s="5"/>
      <c r="P359" s="291">
        <v>2820</v>
      </c>
      <c r="Q359" s="91"/>
      <c r="R359" s="91"/>
      <c r="S359" s="91"/>
      <c r="T359" s="91"/>
      <c r="U359" s="91"/>
      <c r="V359" s="99">
        <f t="shared" si="8"/>
        <v>2820</v>
      </c>
      <c r="W359" s="34"/>
      <c r="X359" s="34" t="s">
        <v>296</v>
      </c>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5"/>
    </row>
    <row r="360" spans="1:53" ht="15" thickBot="1" x14ac:dyDescent="0.4">
      <c r="A360" s="24" t="s">
        <v>296</v>
      </c>
      <c r="B360" s="24" t="s">
        <v>297</v>
      </c>
      <c r="C360" s="24" t="s">
        <v>297</v>
      </c>
      <c r="D360" s="24" t="s">
        <v>297</v>
      </c>
      <c r="E360" s="24" t="s">
        <v>297</v>
      </c>
      <c r="F360" s="24" t="s">
        <v>297</v>
      </c>
      <c r="G360" s="24" t="s">
        <v>297</v>
      </c>
      <c r="H360" s="24" t="s">
        <v>297</v>
      </c>
      <c r="I360" s="186" t="s">
        <v>297</v>
      </c>
      <c r="J360" s="187" t="s">
        <v>965</v>
      </c>
      <c r="K360" s="5" t="s">
        <v>940</v>
      </c>
      <c r="L360" s="5"/>
      <c r="M360" s="5" t="s">
        <v>383</v>
      </c>
      <c r="N360" s="5"/>
      <c r="O360" s="5"/>
      <c r="P360" s="288">
        <v>5350</v>
      </c>
      <c r="Q360" s="91"/>
      <c r="R360" s="91"/>
      <c r="S360" s="91"/>
      <c r="T360" s="91"/>
      <c r="U360" s="91"/>
      <c r="V360" s="99">
        <f t="shared" si="8"/>
        <v>5350</v>
      </c>
      <c r="W360" s="34"/>
      <c r="X360" s="34" t="s">
        <v>296</v>
      </c>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5"/>
    </row>
    <row r="361" spans="1:53" ht="15" thickBot="1" x14ac:dyDescent="0.4">
      <c r="A361" s="24" t="s">
        <v>296</v>
      </c>
      <c r="B361" s="24" t="s">
        <v>297</v>
      </c>
      <c r="C361" s="24" t="s">
        <v>297</v>
      </c>
      <c r="D361" s="24" t="s">
        <v>297</v>
      </c>
      <c r="E361" s="24" t="s">
        <v>297</v>
      </c>
      <c r="F361" s="24" t="s">
        <v>297</v>
      </c>
      <c r="G361" s="24" t="s">
        <v>297</v>
      </c>
      <c r="H361" s="24" t="s">
        <v>297</v>
      </c>
      <c r="I361" s="186" t="s">
        <v>297</v>
      </c>
      <c r="J361" s="187" t="s">
        <v>965</v>
      </c>
      <c r="K361" s="5" t="s">
        <v>941</v>
      </c>
      <c r="L361" s="5"/>
      <c r="M361" s="5" t="s">
        <v>383</v>
      </c>
      <c r="N361" s="5"/>
      <c r="O361" s="5"/>
      <c r="P361" s="288">
        <v>2910</v>
      </c>
      <c r="Q361" s="91"/>
      <c r="R361" s="91"/>
      <c r="S361" s="91"/>
      <c r="T361" s="91"/>
      <c r="U361" s="91"/>
      <c r="V361" s="99">
        <f t="shared" si="8"/>
        <v>2910</v>
      </c>
      <c r="W361" s="34"/>
      <c r="X361" s="34" t="s">
        <v>296</v>
      </c>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c r="AW361" s="34"/>
      <c r="AX361" s="34"/>
      <c r="AY361" s="34"/>
      <c r="AZ361" s="34"/>
      <c r="BA361" s="5"/>
    </row>
    <row r="362" spans="1:53" ht="26.5" thickBot="1" x14ac:dyDescent="0.4">
      <c r="A362" s="24" t="s">
        <v>296</v>
      </c>
      <c r="B362" s="24" t="s">
        <v>297</v>
      </c>
      <c r="C362" s="24" t="s">
        <v>297</v>
      </c>
      <c r="D362" s="24" t="s">
        <v>297</v>
      </c>
      <c r="E362" s="24" t="s">
        <v>297</v>
      </c>
      <c r="F362" s="24" t="s">
        <v>297</v>
      </c>
      <c r="G362" s="24" t="s">
        <v>297</v>
      </c>
      <c r="H362" s="24" t="s">
        <v>297</v>
      </c>
      <c r="I362" s="186" t="s">
        <v>297</v>
      </c>
      <c r="J362" s="187" t="s">
        <v>965</v>
      </c>
      <c r="K362" s="5" t="s">
        <v>942</v>
      </c>
      <c r="L362" s="5"/>
      <c r="M362" s="5" t="s">
        <v>383</v>
      </c>
      <c r="N362" s="5"/>
      <c r="O362" s="5"/>
      <c r="P362" s="288">
        <v>17400</v>
      </c>
      <c r="Q362" s="91"/>
      <c r="R362" s="91"/>
      <c r="S362" s="91"/>
      <c r="T362" s="91"/>
      <c r="U362" s="91"/>
      <c r="V362" s="99">
        <f t="shared" si="8"/>
        <v>17400</v>
      </c>
      <c r="W362" s="34"/>
      <c r="X362" s="34" t="s">
        <v>296</v>
      </c>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c r="AX362" s="34"/>
      <c r="AY362" s="34"/>
      <c r="AZ362" s="34"/>
      <c r="BA362" s="5"/>
    </row>
    <row r="363" spans="1:53" ht="15" thickBot="1" x14ac:dyDescent="0.4">
      <c r="A363" s="24" t="s">
        <v>296</v>
      </c>
      <c r="B363" s="24" t="s">
        <v>297</v>
      </c>
      <c r="C363" s="24" t="s">
        <v>297</v>
      </c>
      <c r="D363" s="24" t="s">
        <v>297</v>
      </c>
      <c r="E363" s="24" t="s">
        <v>297</v>
      </c>
      <c r="F363" s="24" t="s">
        <v>297</v>
      </c>
      <c r="G363" s="24" t="s">
        <v>297</v>
      </c>
      <c r="H363" s="24" t="s">
        <v>297</v>
      </c>
      <c r="I363" s="186" t="s">
        <v>297</v>
      </c>
      <c r="J363" s="187" t="s">
        <v>965</v>
      </c>
      <c r="K363" s="5" t="s">
        <v>943</v>
      </c>
      <c r="L363" s="5"/>
      <c r="M363" s="5" t="s">
        <v>383</v>
      </c>
      <c r="N363" s="5"/>
      <c r="O363" s="5"/>
      <c r="P363" s="288">
        <v>9710</v>
      </c>
      <c r="Q363" s="91"/>
      <c r="R363" s="91"/>
      <c r="S363" s="91"/>
      <c r="T363" s="91"/>
      <c r="U363" s="91"/>
      <c r="V363" s="99">
        <f t="shared" si="8"/>
        <v>9710</v>
      </c>
      <c r="W363" s="34"/>
      <c r="X363" s="34" t="s">
        <v>296</v>
      </c>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c r="AW363" s="34"/>
      <c r="AX363" s="34"/>
      <c r="AY363" s="34"/>
      <c r="AZ363" s="34"/>
      <c r="BA363" s="5"/>
    </row>
    <row r="364" spans="1:53" ht="15" thickBot="1" x14ac:dyDescent="0.4">
      <c r="A364" s="24" t="s">
        <v>296</v>
      </c>
      <c r="B364" s="24" t="s">
        <v>297</v>
      </c>
      <c r="C364" s="24" t="s">
        <v>297</v>
      </c>
      <c r="D364" s="24" t="s">
        <v>297</v>
      </c>
      <c r="E364" s="24" t="s">
        <v>297</v>
      </c>
      <c r="F364" s="24" t="s">
        <v>297</v>
      </c>
      <c r="G364" s="24" t="s">
        <v>297</v>
      </c>
      <c r="H364" s="24" t="s">
        <v>297</v>
      </c>
      <c r="I364" s="186" t="s">
        <v>297</v>
      </c>
      <c r="J364" s="187" t="s">
        <v>965</v>
      </c>
      <c r="K364" s="5" t="s">
        <v>944</v>
      </c>
      <c r="L364" s="5"/>
      <c r="M364" s="5" t="s">
        <v>383</v>
      </c>
      <c r="N364" s="5"/>
      <c r="O364" s="5"/>
      <c r="P364" s="288">
        <v>1</v>
      </c>
      <c r="Q364" s="91"/>
      <c r="R364" s="91"/>
      <c r="S364" s="91"/>
      <c r="T364" s="91"/>
      <c r="U364" s="91"/>
      <c r="V364" s="99">
        <f t="shared" si="8"/>
        <v>1</v>
      </c>
      <c r="W364" s="34"/>
      <c r="X364" s="34" t="s">
        <v>296</v>
      </c>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c r="AX364" s="34"/>
      <c r="AY364" s="34"/>
      <c r="AZ364" s="34"/>
      <c r="BA364" s="5"/>
    </row>
    <row r="365" spans="1:53" ht="15" thickBot="1" x14ac:dyDescent="0.4">
      <c r="A365" s="24" t="s">
        <v>296</v>
      </c>
      <c r="B365" s="24" t="s">
        <v>297</v>
      </c>
      <c r="C365" s="24" t="s">
        <v>297</v>
      </c>
      <c r="D365" s="24" t="s">
        <v>297</v>
      </c>
      <c r="E365" s="24" t="s">
        <v>297</v>
      </c>
      <c r="F365" s="24" t="s">
        <v>297</v>
      </c>
      <c r="G365" s="24" t="s">
        <v>297</v>
      </c>
      <c r="H365" s="24" t="s">
        <v>297</v>
      </c>
      <c r="I365" s="186" t="s">
        <v>297</v>
      </c>
      <c r="J365" s="187" t="s">
        <v>965</v>
      </c>
      <c r="K365" s="5" t="s">
        <v>945</v>
      </c>
      <c r="L365" s="5"/>
      <c r="M365" s="5" t="s">
        <v>383</v>
      </c>
      <c r="N365" s="5"/>
      <c r="O365" s="5"/>
      <c r="P365" s="288">
        <v>9</v>
      </c>
      <c r="Q365" s="91"/>
      <c r="R365" s="91"/>
      <c r="S365" s="91"/>
      <c r="T365" s="91"/>
      <c r="U365" s="91"/>
      <c r="V365" s="99">
        <f t="shared" si="8"/>
        <v>9</v>
      </c>
      <c r="W365" s="34"/>
      <c r="X365" s="34" t="s">
        <v>296</v>
      </c>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c r="AX365" s="34"/>
      <c r="AY365" s="34"/>
      <c r="AZ365" s="34"/>
      <c r="BA365" s="5"/>
    </row>
    <row r="366" spans="1:53" ht="15" thickBot="1" x14ac:dyDescent="0.4">
      <c r="A366" s="24" t="s">
        <v>296</v>
      </c>
      <c r="B366" s="24" t="s">
        <v>297</v>
      </c>
      <c r="C366" s="24" t="s">
        <v>297</v>
      </c>
      <c r="D366" s="24" t="s">
        <v>297</v>
      </c>
      <c r="E366" s="24" t="s">
        <v>297</v>
      </c>
      <c r="F366" s="24" t="s">
        <v>297</v>
      </c>
      <c r="G366" s="24" t="s">
        <v>297</v>
      </c>
      <c r="H366" s="24" t="s">
        <v>297</v>
      </c>
      <c r="I366" s="186" t="s">
        <v>297</v>
      </c>
      <c r="J366" s="187" t="s">
        <v>965</v>
      </c>
      <c r="K366" s="5" t="s">
        <v>946</v>
      </c>
      <c r="L366" s="5"/>
      <c r="M366" s="5" t="s">
        <v>383</v>
      </c>
      <c r="N366" s="5"/>
      <c r="O366" s="5"/>
      <c r="P366" s="288">
        <v>12</v>
      </c>
      <c r="Q366" s="91"/>
      <c r="R366" s="91"/>
      <c r="S366" s="91"/>
      <c r="T366" s="91"/>
      <c r="U366" s="91"/>
      <c r="V366" s="99">
        <f t="shared" si="8"/>
        <v>12</v>
      </c>
      <c r="W366" s="34"/>
      <c r="X366" s="34" t="s">
        <v>296</v>
      </c>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5"/>
    </row>
    <row r="367" spans="1:53" ht="15" thickBot="1" x14ac:dyDescent="0.4">
      <c r="A367" s="24" t="s">
        <v>296</v>
      </c>
      <c r="B367" s="24" t="s">
        <v>297</v>
      </c>
      <c r="C367" s="24" t="s">
        <v>297</v>
      </c>
      <c r="D367" s="24" t="s">
        <v>297</v>
      </c>
      <c r="E367" s="24" t="s">
        <v>297</v>
      </c>
      <c r="F367" s="24" t="s">
        <v>297</v>
      </c>
      <c r="G367" s="24" t="s">
        <v>297</v>
      </c>
      <c r="H367" s="24" t="s">
        <v>297</v>
      </c>
      <c r="I367" s="186" t="s">
        <v>297</v>
      </c>
      <c r="J367" s="187" t="s">
        <v>965</v>
      </c>
      <c r="K367" s="5" t="s">
        <v>947</v>
      </c>
      <c r="L367" s="5"/>
      <c r="M367" s="5" t="s">
        <v>383</v>
      </c>
      <c r="N367" s="5"/>
      <c r="O367" s="5"/>
      <c r="P367" s="288">
        <v>0.06</v>
      </c>
      <c r="Q367" s="91"/>
      <c r="R367" s="91"/>
      <c r="S367" s="91"/>
      <c r="T367" s="91"/>
      <c r="U367" s="91"/>
      <c r="V367" s="99">
        <f t="shared" si="8"/>
        <v>0.06</v>
      </c>
      <c r="W367" s="34"/>
      <c r="X367" s="34" t="s">
        <v>296</v>
      </c>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5"/>
    </row>
    <row r="368" spans="1:53" ht="15" thickBot="1" x14ac:dyDescent="0.4">
      <c r="A368" s="24" t="s">
        <v>296</v>
      </c>
      <c r="B368" s="24" t="s">
        <v>297</v>
      </c>
      <c r="C368" s="24" t="s">
        <v>297</v>
      </c>
      <c r="D368" s="24" t="s">
        <v>297</v>
      </c>
      <c r="E368" s="24" t="s">
        <v>297</v>
      </c>
      <c r="F368" s="24" t="s">
        <v>297</v>
      </c>
      <c r="G368" s="24" t="s">
        <v>297</v>
      </c>
      <c r="H368" s="24" t="s">
        <v>297</v>
      </c>
      <c r="I368" s="186" t="s">
        <v>297</v>
      </c>
      <c r="J368" s="187" t="s">
        <v>965</v>
      </c>
      <c r="K368" s="5" t="s">
        <v>948</v>
      </c>
      <c r="L368" s="5"/>
      <c r="M368" s="5" t="s">
        <v>383</v>
      </c>
      <c r="N368" s="5"/>
      <c r="O368" s="5"/>
      <c r="P368" s="288">
        <v>3</v>
      </c>
      <c r="Q368" s="91"/>
      <c r="R368" s="91"/>
      <c r="S368" s="91"/>
      <c r="T368" s="91"/>
      <c r="U368" s="91"/>
      <c r="V368" s="99">
        <f t="shared" si="8"/>
        <v>3</v>
      </c>
      <c r="W368" s="34"/>
      <c r="X368" s="34" t="s">
        <v>296</v>
      </c>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c r="AW368" s="34"/>
      <c r="AX368" s="34"/>
      <c r="AY368" s="34"/>
      <c r="AZ368" s="34"/>
      <c r="BA368" s="5"/>
    </row>
    <row r="369" spans="1:53" ht="15" thickBot="1" x14ac:dyDescent="0.4">
      <c r="A369" s="24" t="s">
        <v>296</v>
      </c>
      <c r="B369" s="24" t="s">
        <v>297</v>
      </c>
      <c r="C369" s="24" t="s">
        <v>297</v>
      </c>
      <c r="D369" s="24" t="s">
        <v>297</v>
      </c>
      <c r="E369" s="24" t="s">
        <v>297</v>
      </c>
      <c r="F369" s="24" t="s">
        <v>297</v>
      </c>
      <c r="G369" s="24" t="s">
        <v>297</v>
      </c>
      <c r="H369" s="24" t="s">
        <v>297</v>
      </c>
      <c r="I369" s="186" t="s">
        <v>297</v>
      </c>
      <c r="J369" s="187" t="s">
        <v>965</v>
      </c>
      <c r="K369" s="5" t="s">
        <v>949</v>
      </c>
      <c r="L369" s="5"/>
      <c r="M369" s="5" t="s">
        <v>383</v>
      </c>
      <c r="N369" s="5"/>
      <c r="O369" s="5"/>
      <c r="P369" s="288">
        <v>6.0000000000000001E-3</v>
      </c>
      <c r="Q369" s="91"/>
      <c r="R369" s="91"/>
      <c r="S369" s="91"/>
      <c r="T369" s="91"/>
      <c r="U369" s="91"/>
      <c r="V369" s="99">
        <f t="shared" si="8"/>
        <v>6.0000000000000001E-3</v>
      </c>
      <c r="W369" s="34"/>
      <c r="X369" s="34" t="s">
        <v>296</v>
      </c>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5"/>
    </row>
    <row r="370" spans="1:53" ht="15" thickBot="1" x14ac:dyDescent="0.4">
      <c r="A370" s="24" t="s">
        <v>296</v>
      </c>
      <c r="B370" s="24" t="s">
        <v>297</v>
      </c>
      <c r="C370" s="24" t="s">
        <v>297</v>
      </c>
      <c r="D370" s="24" t="s">
        <v>297</v>
      </c>
      <c r="E370" s="24" t="s">
        <v>297</v>
      </c>
      <c r="F370" s="24" t="s">
        <v>297</v>
      </c>
      <c r="G370" s="24" t="s">
        <v>297</v>
      </c>
      <c r="H370" s="24" t="s">
        <v>297</v>
      </c>
      <c r="I370" s="186" t="s">
        <v>297</v>
      </c>
      <c r="J370" s="187" t="s">
        <v>965</v>
      </c>
      <c r="K370" s="5" t="s">
        <v>950</v>
      </c>
      <c r="L370" s="5"/>
      <c r="M370" s="5" t="s">
        <v>383</v>
      </c>
      <c r="N370" s="5"/>
      <c r="O370" s="5"/>
      <c r="P370" s="288">
        <v>5</v>
      </c>
      <c r="Q370" s="91"/>
      <c r="R370" s="91"/>
      <c r="S370" s="91"/>
      <c r="T370" s="91"/>
      <c r="U370" s="91"/>
      <c r="V370" s="99">
        <f t="shared" si="8"/>
        <v>5</v>
      </c>
      <c r="W370" s="34"/>
      <c r="X370" s="34" t="s">
        <v>296</v>
      </c>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5"/>
    </row>
    <row r="371" spans="1:53" ht="15" thickBot="1" x14ac:dyDescent="0.4">
      <c r="A371" s="24" t="s">
        <v>296</v>
      </c>
      <c r="B371" s="24" t="s">
        <v>297</v>
      </c>
      <c r="C371" s="24" t="s">
        <v>297</v>
      </c>
      <c r="D371" s="24" t="s">
        <v>297</v>
      </c>
      <c r="E371" s="24" t="s">
        <v>297</v>
      </c>
      <c r="F371" s="24" t="s">
        <v>297</v>
      </c>
      <c r="G371" s="24" t="s">
        <v>297</v>
      </c>
      <c r="H371" s="24" t="s">
        <v>297</v>
      </c>
      <c r="I371" s="186" t="s">
        <v>297</v>
      </c>
      <c r="J371" s="187" t="s">
        <v>965</v>
      </c>
      <c r="K371" s="5" t="s">
        <v>951</v>
      </c>
      <c r="L371" s="5"/>
      <c r="M371" s="5" t="s">
        <v>383</v>
      </c>
      <c r="N371" s="5"/>
      <c r="O371" s="5"/>
      <c r="P371" s="288">
        <v>5</v>
      </c>
      <c r="Q371" s="91"/>
      <c r="R371" s="91"/>
      <c r="S371" s="91"/>
      <c r="T371" s="91"/>
      <c r="U371" s="91"/>
      <c r="V371" s="99">
        <f t="shared" si="8"/>
        <v>5</v>
      </c>
      <c r="W371" s="34"/>
      <c r="X371" s="34" t="s">
        <v>296</v>
      </c>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c r="AX371" s="34"/>
      <c r="AY371" s="34"/>
      <c r="AZ371" s="34"/>
      <c r="BA371" s="5"/>
    </row>
    <row r="372" spans="1:53" ht="15" thickBot="1" x14ac:dyDescent="0.4">
      <c r="A372" s="24" t="s">
        <v>296</v>
      </c>
      <c r="B372" s="24" t="s">
        <v>297</v>
      </c>
      <c r="C372" s="24" t="s">
        <v>297</v>
      </c>
      <c r="D372" s="24" t="s">
        <v>297</v>
      </c>
      <c r="E372" s="24" t="s">
        <v>297</v>
      </c>
      <c r="F372" s="24" t="s">
        <v>297</v>
      </c>
      <c r="G372" s="24" t="s">
        <v>297</v>
      </c>
      <c r="H372" s="24" t="s">
        <v>297</v>
      </c>
      <c r="I372" s="186" t="s">
        <v>297</v>
      </c>
      <c r="J372" s="187" t="s">
        <v>965</v>
      </c>
      <c r="K372" s="5" t="s">
        <v>952</v>
      </c>
      <c r="L372" s="5"/>
      <c r="M372" s="5" t="s">
        <v>383</v>
      </c>
      <c r="N372" s="5"/>
      <c r="O372" s="5"/>
      <c r="P372" s="288">
        <v>0.437</v>
      </c>
      <c r="Q372" s="91"/>
      <c r="R372" s="91"/>
      <c r="S372" s="91"/>
      <c r="T372" s="91"/>
      <c r="U372" s="91"/>
      <c r="V372" s="99">
        <f t="shared" si="8"/>
        <v>0.437</v>
      </c>
      <c r="W372" s="34"/>
      <c r="X372" s="34" t="s">
        <v>296</v>
      </c>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c r="AX372" s="34"/>
      <c r="AY372" s="34"/>
      <c r="AZ372" s="34"/>
      <c r="BA372" s="5"/>
    </row>
    <row r="373" spans="1:53" ht="15" thickBot="1" x14ac:dyDescent="0.4">
      <c r="A373" s="24" t="s">
        <v>296</v>
      </c>
      <c r="B373" s="24" t="s">
        <v>297</v>
      </c>
      <c r="C373" s="24" t="s">
        <v>297</v>
      </c>
      <c r="D373" s="24" t="s">
        <v>297</v>
      </c>
      <c r="E373" s="24" t="s">
        <v>297</v>
      </c>
      <c r="F373" s="24" t="s">
        <v>297</v>
      </c>
      <c r="G373" s="24" t="s">
        <v>297</v>
      </c>
      <c r="H373" s="24" t="s">
        <v>297</v>
      </c>
      <c r="I373" s="186" t="s">
        <v>297</v>
      </c>
      <c r="J373" s="187" t="s">
        <v>965</v>
      </c>
      <c r="K373" s="5" t="s">
        <v>953</v>
      </c>
      <c r="L373" s="5"/>
      <c r="M373" s="5" t="s">
        <v>383</v>
      </c>
      <c r="N373" s="5"/>
      <c r="O373" s="5"/>
      <c r="P373" s="288">
        <v>2</v>
      </c>
      <c r="Q373" s="91"/>
      <c r="R373" s="91"/>
      <c r="S373" s="91"/>
      <c r="T373" s="91"/>
      <c r="U373" s="91"/>
      <c r="V373" s="99">
        <f t="shared" si="8"/>
        <v>2</v>
      </c>
      <c r="W373" s="34"/>
      <c r="X373" s="34" t="s">
        <v>296</v>
      </c>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5"/>
    </row>
    <row r="374" spans="1:53" ht="39.5" thickBot="1" x14ac:dyDescent="0.4">
      <c r="A374" s="24" t="s">
        <v>296</v>
      </c>
      <c r="B374" s="24" t="s">
        <v>297</v>
      </c>
      <c r="C374" s="24" t="s">
        <v>297</v>
      </c>
      <c r="D374" s="24" t="s">
        <v>297</v>
      </c>
      <c r="E374" s="24" t="s">
        <v>297</v>
      </c>
      <c r="F374" s="24" t="s">
        <v>297</v>
      </c>
      <c r="G374" s="24" t="s">
        <v>297</v>
      </c>
      <c r="H374" s="24" t="s">
        <v>297</v>
      </c>
      <c r="I374" s="186" t="s">
        <v>297</v>
      </c>
      <c r="J374" s="187" t="s">
        <v>965</v>
      </c>
      <c r="K374" s="5" t="s">
        <v>973</v>
      </c>
      <c r="L374" s="5"/>
      <c r="M374" s="5" t="s">
        <v>383</v>
      </c>
      <c r="N374" s="5"/>
      <c r="O374" s="5"/>
      <c r="P374" s="288">
        <v>1</v>
      </c>
      <c r="Q374" s="91"/>
      <c r="R374" s="91"/>
      <c r="S374" s="91"/>
      <c r="T374" s="91"/>
      <c r="U374" s="91"/>
      <c r="V374" s="99">
        <f t="shared" si="8"/>
        <v>1</v>
      </c>
      <c r="W374" s="34"/>
      <c r="X374" s="34" t="s">
        <v>296</v>
      </c>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5" t="s">
        <v>975</v>
      </c>
    </row>
    <row r="375" spans="1:53" ht="39.5" thickBot="1" x14ac:dyDescent="0.4">
      <c r="A375" s="24" t="s">
        <v>296</v>
      </c>
      <c r="B375" s="24" t="s">
        <v>297</v>
      </c>
      <c r="C375" s="24" t="s">
        <v>297</v>
      </c>
      <c r="D375" s="24" t="s">
        <v>297</v>
      </c>
      <c r="E375" s="24" t="s">
        <v>297</v>
      </c>
      <c r="F375" s="24" t="s">
        <v>297</v>
      </c>
      <c r="G375" s="24" t="s">
        <v>297</v>
      </c>
      <c r="H375" s="24" t="s">
        <v>297</v>
      </c>
      <c r="I375" s="186" t="s">
        <v>297</v>
      </c>
      <c r="J375" s="187" t="s">
        <v>965</v>
      </c>
      <c r="K375" s="5" t="s">
        <v>974</v>
      </c>
      <c r="L375" s="5"/>
      <c r="M375" s="5" t="s">
        <v>383</v>
      </c>
      <c r="N375" s="5"/>
      <c r="O375" s="5"/>
      <c r="P375" s="288">
        <v>1</v>
      </c>
      <c r="Q375" s="91"/>
      <c r="R375" s="91"/>
      <c r="S375" s="91"/>
      <c r="T375" s="91"/>
      <c r="U375" s="91"/>
      <c r="V375" s="99">
        <f t="shared" si="8"/>
        <v>1</v>
      </c>
      <c r="W375" s="34"/>
      <c r="X375" s="34" t="s">
        <v>296</v>
      </c>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5" t="s">
        <v>975</v>
      </c>
    </row>
    <row r="376" spans="1:53" ht="15" thickBot="1" x14ac:dyDescent="0.4">
      <c r="A376" s="24" t="s">
        <v>296</v>
      </c>
      <c r="B376" s="24" t="s">
        <v>297</v>
      </c>
      <c r="C376" s="24" t="s">
        <v>297</v>
      </c>
      <c r="D376" s="24" t="s">
        <v>297</v>
      </c>
      <c r="E376" s="24" t="s">
        <v>297</v>
      </c>
      <c r="F376" s="24" t="s">
        <v>297</v>
      </c>
      <c r="G376" s="24" t="s">
        <v>297</v>
      </c>
      <c r="H376" s="24" t="s">
        <v>297</v>
      </c>
      <c r="I376" s="186" t="s">
        <v>297</v>
      </c>
      <c r="J376" s="187" t="s">
        <v>1033</v>
      </c>
      <c r="K376" s="5" t="s">
        <v>959</v>
      </c>
      <c r="L376" s="5"/>
      <c r="M376" s="5" t="s">
        <v>1035</v>
      </c>
      <c r="N376" s="5"/>
      <c r="O376" s="5"/>
      <c r="P376" s="296">
        <v>0.55900000000000005</v>
      </c>
      <c r="Q376" s="91"/>
      <c r="R376" s="91"/>
      <c r="S376" s="91"/>
      <c r="T376" s="91"/>
      <c r="U376" s="91"/>
      <c r="V376" s="99">
        <f t="shared" si="8"/>
        <v>0.55900000000000005</v>
      </c>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t="s">
        <v>296</v>
      </c>
      <c r="BA376" s="5"/>
    </row>
    <row r="377" spans="1:53" ht="15" thickBot="1" x14ac:dyDescent="0.4">
      <c r="A377" s="24" t="s">
        <v>296</v>
      </c>
      <c r="B377" s="24" t="s">
        <v>297</v>
      </c>
      <c r="C377" s="24" t="s">
        <v>297</v>
      </c>
      <c r="D377" s="24" t="s">
        <v>297</v>
      </c>
      <c r="E377" s="24" t="s">
        <v>297</v>
      </c>
      <c r="F377" s="24" t="s">
        <v>297</v>
      </c>
      <c r="G377" s="24" t="s">
        <v>297</v>
      </c>
      <c r="H377" s="24" t="s">
        <v>297</v>
      </c>
      <c r="I377" s="186" t="s">
        <v>297</v>
      </c>
      <c r="J377" s="187" t="s">
        <v>1033</v>
      </c>
      <c r="K377" s="5" t="s">
        <v>1034</v>
      </c>
      <c r="L377" s="5"/>
      <c r="M377" s="5" t="s">
        <v>1035</v>
      </c>
      <c r="N377" s="5"/>
      <c r="O377" s="5"/>
      <c r="P377" s="296">
        <v>0.27800000000000002</v>
      </c>
      <c r="Q377" s="91"/>
      <c r="R377" s="91"/>
      <c r="S377" s="91"/>
      <c r="T377" s="91"/>
      <c r="U377" s="91"/>
      <c r="V377" s="99">
        <f t="shared" si="8"/>
        <v>0.27800000000000002</v>
      </c>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t="s">
        <v>296</v>
      </c>
      <c r="BA377" s="5"/>
    </row>
    <row r="378" spans="1:53" ht="52.5" thickBot="1" x14ac:dyDescent="0.4">
      <c r="A378" s="24" t="s">
        <v>296</v>
      </c>
      <c r="B378" s="24" t="s">
        <v>297</v>
      </c>
      <c r="C378" s="24" t="s">
        <v>297</v>
      </c>
      <c r="D378" s="24" t="s">
        <v>297</v>
      </c>
      <c r="E378" s="24" t="s">
        <v>297</v>
      </c>
      <c r="F378" s="24" t="s">
        <v>297</v>
      </c>
      <c r="G378" s="24" t="s">
        <v>297</v>
      </c>
      <c r="H378" s="24" t="s">
        <v>297</v>
      </c>
      <c r="I378" s="186" t="s">
        <v>297</v>
      </c>
      <c r="J378" s="187" t="s">
        <v>1033</v>
      </c>
      <c r="K378" s="5" t="s">
        <v>1049</v>
      </c>
      <c r="L378" s="5"/>
      <c r="M378" s="5" t="s">
        <v>1035</v>
      </c>
      <c r="N378" s="5"/>
      <c r="O378" s="5"/>
      <c r="P378" s="300">
        <v>2.3619371282922685E-3</v>
      </c>
      <c r="Q378" s="91"/>
      <c r="R378" s="91"/>
      <c r="S378" s="91"/>
      <c r="T378" s="91"/>
      <c r="U378" s="91"/>
      <c r="V378" s="99">
        <f t="shared" si="8"/>
        <v>2E-3</v>
      </c>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t="s">
        <v>296</v>
      </c>
      <c r="BA378" s="5" t="s">
        <v>1050</v>
      </c>
    </row>
    <row r="379" spans="1:53" ht="15" thickBot="1" x14ac:dyDescent="0.4">
      <c r="A379" s="24" t="s">
        <v>296</v>
      </c>
      <c r="B379" s="24" t="s">
        <v>297</v>
      </c>
      <c r="C379" s="24" t="s">
        <v>297</v>
      </c>
      <c r="D379" s="24" t="s">
        <v>297</v>
      </c>
      <c r="E379" s="24" t="s">
        <v>297</v>
      </c>
      <c r="F379" s="24" t="s">
        <v>297</v>
      </c>
      <c r="G379" s="24" t="s">
        <v>297</v>
      </c>
      <c r="H379" s="24" t="s">
        <v>297</v>
      </c>
      <c r="I379" s="186" t="s">
        <v>297</v>
      </c>
      <c r="J379" s="187" t="s">
        <v>1033</v>
      </c>
      <c r="K379" s="5" t="s">
        <v>961</v>
      </c>
      <c r="L379" s="5"/>
      <c r="M379" s="5" t="s">
        <v>1035</v>
      </c>
      <c r="N379" s="5"/>
      <c r="O379" s="5"/>
      <c r="P379" s="296">
        <v>762.96</v>
      </c>
      <c r="Q379" s="91"/>
      <c r="R379" s="91"/>
      <c r="S379" s="91"/>
      <c r="T379" s="91"/>
      <c r="U379" s="91"/>
      <c r="V379" s="99">
        <f t="shared" si="8"/>
        <v>762.96</v>
      </c>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t="s">
        <v>296</v>
      </c>
      <c r="BA379" s="5"/>
    </row>
    <row r="380" spans="1:53" ht="15" thickBot="1" x14ac:dyDescent="0.4">
      <c r="A380" s="24" t="s">
        <v>296</v>
      </c>
      <c r="B380" s="24" t="s">
        <v>297</v>
      </c>
      <c r="C380" s="24" t="s">
        <v>297</v>
      </c>
      <c r="D380" s="24" t="s">
        <v>297</v>
      </c>
      <c r="E380" s="24" t="s">
        <v>297</v>
      </c>
      <c r="F380" s="24" t="s">
        <v>297</v>
      </c>
      <c r="G380" s="24" t="s">
        <v>297</v>
      </c>
      <c r="H380" s="24" t="s">
        <v>297</v>
      </c>
      <c r="I380" s="186" t="s">
        <v>297</v>
      </c>
      <c r="J380" s="187" t="s">
        <v>1033</v>
      </c>
      <c r="K380" s="5" t="s">
        <v>962</v>
      </c>
      <c r="L380" s="5"/>
      <c r="M380" s="5" t="s">
        <v>1035</v>
      </c>
      <c r="N380" s="5"/>
      <c r="O380" s="5"/>
      <c r="P380" s="296">
        <v>3721.1</v>
      </c>
      <c r="Q380" s="91"/>
      <c r="R380" s="91"/>
      <c r="S380" s="91"/>
      <c r="T380" s="91"/>
      <c r="U380" s="91"/>
      <c r="V380" s="99">
        <f t="shared" si="8"/>
        <v>3721.1</v>
      </c>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t="s">
        <v>296</v>
      </c>
      <c r="BA380" s="5"/>
    </row>
    <row r="381" spans="1:53" ht="15" thickBot="1" x14ac:dyDescent="0.4">
      <c r="A381" s="24" t="s">
        <v>296</v>
      </c>
      <c r="B381" s="24" t="s">
        <v>297</v>
      </c>
      <c r="C381" s="24" t="s">
        <v>297</v>
      </c>
      <c r="D381" s="24" t="s">
        <v>297</v>
      </c>
      <c r="E381" s="24" t="s">
        <v>297</v>
      </c>
      <c r="F381" s="24" t="s">
        <v>297</v>
      </c>
      <c r="G381" s="24" t="s">
        <v>297</v>
      </c>
      <c r="H381" s="24" t="s">
        <v>297</v>
      </c>
      <c r="I381" s="186" t="s">
        <v>297</v>
      </c>
      <c r="J381" s="187" t="s">
        <v>1033</v>
      </c>
      <c r="K381" s="5" t="s">
        <v>963</v>
      </c>
      <c r="L381" s="5"/>
      <c r="M381" s="5" t="s">
        <v>1035</v>
      </c>
      <c r="N381" s="5"/>
      <c r="O381" s="5"/>
      <c r="P381" s="296">
        <v>197.86</v>
      </c>
      <c r="Q381" s="91"/>
      <c r="R381" s="91"/>
      <c r="S381" s="91"/>
      <c r="T381" s="91"/>
      <c r="U381" s="91"/>
      <c r="V381" s="99">
        <f t="shared" si="8"/>
        <v>197.86</v>
      </c>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t="s">
        <v>296</v>
      </c>
      <c r="BA381" s="5"/>
    </row>
  </sheetData>
  <sheetProtection algorithmName="SHA-512" hashValue="/h+1UN5HSLP9f7dyBMnCjOplGqXA+MLYdwuwOCr9o+PRIZnMP+r1+zc/F5BTtqOvenKL/23t9F8dVcrdpxA7tw==" saltValue="HB0I1pqZ4vTmxH6TOFVpcA==" spinCount="100000" sheet="1" objects="1" scenarios="1"/>
  <mergeCells count="2">
    <mergeCell ref="W1:AU1"/>
    <mergeCell ref="AV1:AX1"/>
  </mergeCells>
  <conditionalFormatting sqref="A3:I381">
    <cfRule type="containsText" dxfId="5" priority="1" operator="containsText" text="N">
      <formula>NOT(ISERROR(SEARCH("N",A3)))</formula>
    </cfRule>
    <cfRule type="containsText" dxfId="4" priority="2" operator="containsText" text="Y">
      <formula>NOT(ISERROR(SEARCH("Y",A3)))</formula>
    </cfRule>
  </conditionalFormatting>
  <conditionalFormatting sqref="W110:AH213">
    <cfRule type="containsText" dxfId="3" priority="3" operator="containsText" text="Y">
      <formula>NOT(ISERROR(SEARCH("Y",W110)))</formula>
    </cfRule>
    <cfRule type="containsBlanks" dxfId="2" priority="4">
      <formula>LEN(TRIM(W110))=0</formula>
    </cfRule>
  </conditionalFormatting>
  <conditionalFormatting sqref="W3:AZ108 W109:AI109 AJ109:AZ261 AI110:AI318 Y214:AH318 W214:X372 AJ262:AT318 AU262:AZ372 Y319:AT372 W373:AZ381">
    <cfRule type="containsText" dxfId="1" priority="5" operator="containsText" text="Y">
      <formula>NOT(ISERROR(SEARCH("Y",W3)))</formula>
    </cfRule>
    <cfRule type="containsBlanks" dxfId="0" priority="6">
      <formula>LEN(TRIM(W3))=0</formula>
    </cfRule>
  </conditionalFormatting>
  <dataValidations count="1">
    <dataValidation type="list" allowBlank="1" showInputMessage="1" showErrorMessage="1" sqref="W3:AZ381 A3:I381" xr:uid="{00000000-0002-0000-0700-000000000000}">
      <formula1>Yesno</formula1>
    </dataValidation>
  </dataValidations>
  <pageMargins left="0.7" right="0.7" top="0.75" bottom="0.75" header="0.3" footer="0.3"/>
  <pageSetup paperSize="8" scale="4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fitToPage="1"/>
  </sheetPr>
  <dimension ref="B1:T78"/>
  <sheetViews>
    <sheetView topLeftCell="A29" zoomScale="70" workbookViewId="0">
      <selection activeCell="B7" sqref="B7"/>
    </sheetView>
  </sheetViews>
  <sheetFormatPr defaultColWidth="8.81640625" defaultRowHeight="14.5" x14ac:dyDescent="0.35"/>
  <cols>
    <col min="1" max="1" width="8.81640625" style="63" customWidth="1"/>
    <col min="2" max="2" width="30" style="63" customWidth="1"/>
    <col min="3" max="3" width="21.81640625" style="63" customWidth="1"/>
    <col min="4" max="4" width="30.1796875" style="63" customWidth="1"/>
    <col min="5" max="5" width="26.1796875" style="63" customWidth="1"/>
    <col min="6" max="11" width="8.81640625" style="63" customWidth="1"/>
    <col min="12" max="12" width="17.1796875" style="63" customWidth="1"/>
    <col min="13" max="13" width="23.81640625" style="63" customWidth="1"/>
    <col min="14" max="14" width="27.81640625" style="63" customWidth="1"/>
    <col min="15" max="16" width="8.81640625" style="63" customWidth="1"/>
    <col min="17" max="17" width="21.81640625" style="63" customWidth="1"/>
    <col min="18" max="18" width="19.54296875" style="63" customWidth="1"/>
    <col min="19" max="19" width="38.1796875" style="63" customWidth="1"/>
    <col min="20" max="20" width="8.81640625" style="63" customWidth="1"/>
    <col min="21" max="16384" width="8.81640625" style="63"/>
  </cols>
  <sheetData>
    <row r="1" spans="2:20" x14ac:dyDescent="0.35">
      <c r="B1" s="80"/>
    </row>
    <row r="3" spans="2:20" ht="26.5" thickBot="1" x14ac:dyDescent="0.65">
      <c r="B3" s="164" t="s">
        <v>427</v>
      </c>
      <c r="C3" s="102"/>
      <c r="D3" s="102"/>
      <c r="E3" s="102"/>
    </row>
    <row r="4" spans="2:20" ht="18.5" x14ac:dyDescent="0.45">
      <c r="B4" s="165" t="s">
        <v>759</v>
      </c>
      <c r="C4" s="162"/>
      <c r="D4" s="162"/>
      <c r="E4" s="162"/>
    </row>
    <row r="5" spans="2:20" ht="18.5" x14ac:dyDescent="0.45">
      <c r="B5" s="166" t="s">
        <v>428</v>
      </c>
      <c r="C5" s="162"/>
      <c r="D5" s="162"/>
      <c r="E5" s="162"/>
    </row>
    <row r="6" spans="2:20" ht="18.5" x14ac:dyDescent="0.45">
      <c r="B6" s="166" t="s">
        <v>429</v>
      </c>
      <c r="C6" s="162"/>
      <c r="D6" s="162"/>
      <c r="E6" s="162"/>
    </row>
    <row r="7" spans="2:20" ht="18.5" x14ac:dyDescent="0.45">
      <c r="B7" s="167" t="s">
        <v>430</v>
      </c>
      <c r="C7" s="162"/>
      <c r="D7" s="162"/>
      <c r="E7" s="162"/>
    </row>
    <row r="8" spans="2:20" ht="18.5" x14ac:dyDescent="0.45">
      <c r="B8" s="167" t="s">
        <v>450</v>
      </c>
      <c r="C8" s="162"/>
      <c r="D8" s="162"/>
      <c r="E8" s="162"/>
    </row>
    <row r="9" spans="2:20" ht="18.5" x14ac:dyDescent="0.45">
      <c r="B9" s="167" t="s">
        <v>760</v>
      </c>
      <c r="C9" s="162"/>
      <c r="D9" s="162"/>
      <c r="E9" s="162"/>
    </row>
    <row r="11" spans="2:20" ht="19" customHeight="1" x14ac:dyDescent="0.35">
      <c r="B11" s="103" t="s">
        <v>428</v>
      </c>
      <c r="L11" s="103" t="s">
        <v>429</v>
      </c>
      <c r="Q11" s="103" t="s">
        <v>430</v>
      </c>
    </row>
    <row r="12" spans="2:20" ht="48" customHeight="1" x14ac:dyDescent="0.35">
      <c r="B12" s="377" t="s">
        <v>783</v>
      </c>
      <c r="C12" s="377"/>
      <c r="D12" s="377"/>
      <c r="E12" s="377"/>
      <c r="F12" s="377"/>
      <c r="G12" s="377"/>
      <c r="H12" s="377"/>
      <c r="I12" s="377"/>
      <c r="L12" s="371" t="s">
        <v>431</v>
      </c>
      <c r="M12" s="371"/>
      <c r="N12" s="371"/>
      <c r="O12" s="371"/>
      <c r="Q12" s="371" t="s">
        <v>432</v>
      </c>
      <c r="R12" s="371"/>
      <c r="S12" s="371"/>
      <c r="T12" s="371"/>
    </row>
    <row r="13" spans="2:20" ht="32.15" customHeight="1" x14ac:dyDescent="0.35">
      <c r="B13" s="163" t="s">
        <v>761</v>
      </c>
      <c r="L13" s="371"/>
      <c r="M13" s="371"/>
      <c r="N13" s="371"/>
      <c r="O13" s="371"/>
    </row>
    <row r="14" spans="2:20" ht="15" thickBot="1" x14ac:dyDescent="0.4">
      <c r="B14" s="161" t="s">
        <v>717</v>
      </c>
    </row>
    <row r="15" spans="2:20" ht="50.15" customHeight="1" thickBot="1" x14ac:dyDescent="0.4">
      <c r="B15" s="2" t="s">
        <v>433</v>
      </c>
      <c r="C15" s="3" t="s">
        <v>434</v>
      </c>
      <c r="D15" s="3" t="s">
        <v>715</v>
      </c>
      <c r="E15" s="3" t="s">
        <v>716</v>
      </c>
      <c r="F15" s="375"/>
      <c r="G15" s="376"/>
      <c r="H15" s="376"/>
      <c r="L15" s="2" t="s">
        <v>433</v>
      </c>
      <c r="M15" s="3" t="s">
        <v>435</v>
      </c>
      <c r="N15" s="3" t="s">
        <v>436</v>
      </c>
      <c r="Q15" s="2" t="s">
        <v>437</v>
      </c>
      <c r="R15" s="3" t="s">
        <v>438</v>
      </c>
      <c r="S15" s="3" t="s">
        <v>439</v>
      </c>
    </row>
    <row r="16" spans="2:20" ht="25.5" customHeight="1" thickBot="1" x14ac:dyDescent="0.4">
      <c r="B16" s="4" t="s">
        <v>685</v>
      </c>
      <c r="C16" s="5" t="s">
        <v>686</v>
      </c>
      <c r="D16" s="5">
        <v>132</v>
      </c>
      <c r="E16" s="5">
        <v>85</v>
      </c>
      <c r="L16" s="4" t="s">
        <v>440</v>
      </c>
      <c r="M16" s="5">
        <v>24</v>
      </c>
      <c r="N16" s="5">
        <v>36</v>
      </c>
      <c r="Q16" s="4" t="s">
        <v>441</v>
      </c>
      <c r="R16" s="106">
        <v>0.64</v>
      </c>
      <c r="S16" s="372" t="s">
        <v>442</v>
      </c>
    </row>
    <row r="17" spans="2:19" ht="42.65" customHeight="1" thickBot="1" x14ac:dyDescent="0.4">
      <c r="B17" s="4" t="s">
        <v>685</v>
      </c>
      <c r="C17" s="5" t="s">
        <v>687</v>
      </c>
      <c r="D17" s="5">
        <v>139</v>
      </c>
      <c r="E17" s="5">
        <v>47</v>
      </c>
      <c r="Q17" s="4" t="s">
        <v>443</v>
      </c>
      <c r="R17" s="107">
        <v>6.6000000000000003E-2</v>
      </c>
      <c r="S17" s="373"/>
    </row>
    <row r="18" spans="2:19" ht="49.5" customHeight="1" thickBot="1" x14ac:dyDescent="0.4">
      <c r="B18" s="4" t="s">
        <v>685</v>
      </c>
      <c r="C18" s="5" t="s">
        <v>688</v>
      </c>
      <c r="D18" s="5">
        <v>319</v>
      </c>
      <c r="E18" s="5">
        <v>83</v>
      </c>
      <c r="L18" s="378" t="s">
        <v>444</v>
      </c>
      <c r="M18" s="378"/>
      <c r="N18" s="378"/>
      <c r="O18" s="378"/>
      <c r="Q18" s="4" t="s">
        <v>445</v>
      </c>
      <c r="R18" s="107">
        <v>4.0000000000000001E-3</v>
      </c>
      <c r="S18" s="373"/>
    </row>
    <row r="19" spans="2:19" ht="39.65" customHeight="1" thickBot="1" x14ac:dyDescent="0.4">
      <c r="B19" s="4" t="s">
        <v>685</v>
      </c>
      <c r="C19" s="5" t="s">
        <v>689</v>
      </c>
      <c r="D19" s="5">
        <v>311</v>
      </c>
      <c r="E19" s="5">
        <v>39</v>
      </c>
      <c r="L19" s="2" t="s">
        <v>433</v>
      </c>
      <c r="M19" s="3" t="s">
        <v>446</v>
      </c>
      <c r="Q19" s="4" t="s">
        <v>447</v>
      </c>
      <c r="R19" s="107">
        <v>9.5000000000000001E-2</v>
      </c>
      <c r="S19" s="373"/>
    </row>
    <row r="20" spans="2:19" ht="42.65" customHeight="1" thickBot="1" x14ac:dyDescent="0.4">
      <c r="B20" s="4" t="s">
        <v>685</v>
      </c>
      <c r="C20" s="5" t="s">
        <v>690</v>
      </c>
      <c r="D20" s="5">
        <v>432</v>
      </c>
      <c r="E20" s="5">
        <v>68</v>
      </c>
      <c r="L20" s="4" t="s">
        <v>440</v>
      </c>
      <c r="M20" s="5" t="s">
        <v>448</v>
      </c>
      <c r="Q20" s="4" t="s">
        <v>449</v>
      </c>
      <c r="R20" s="107">
        <v>6.0000000000000001E-3</v>
      </c>
      <c r="S20" s="373"/>
    </row>
    <row r="21" spans="2:19" ht="52.5" customHeight="1" thickBot="1" x14ac:dyDescent="0.4">
      <c r="B21" s="4" t="s">
        <v>691</v>
      </c>
      <c r="C21" s="5" t="s">
        <v>692</v>
      </c>
      <c r="D21" s="5">
        <v>117</v>
      </c>
      <c r="E21" s="5">
        <v>76</v>
      </c>
      <c r="Q21" s="4" t="s">
        <v>365</v>
      </c>
      <c r="R21" s="107">
        <v>4.4999999999999998E-2</v>
      </c>
      <c r="S21" s="373"/>
    </row>
    <row r="22" spans="2:19" ht="15" thickBot="1" x14ac:dyDescent="0.4">
      <c r="B22" s="4" t="s">
        <v>691</v>
      </c>
      <c r="C22" s="5" t="s">
        <v>693</v>
      </c>
      <c r="D22" s="5">
        <v>121</v>
      </c>
      <c r="E22" s="5">
        <v>55</v>
      </c>
      <c r="L22" s="103" t="s">
        <v>450</v>
      </c>
      <c r="Q22" s="4" t="s">
        <v>368</v>
      </c>
      <c r="R22" s="107">
        <v>1.9E-2</v>
      </c>
      <c r="S22" s="373"/>
    </row>
    <row r="23" spans="2:19" ht="39.65" customHeight="1" thickBot="1" x14ac:dyDescent="0.4">
      <c r="B23" s="4" t="s">
        <v>691</v>
      </c>
      <c r="C23" s="5" t="s">
        <v>694</v>
      </c>
      <c r="D23" s="5">
        <v>223</v>
      </c>
      <c r="E23" s="5">
        <v>69</v>
      </c>
      <c r="L23" s="378" t="s">
        <v>451</v>
      </c>
      <c r="M23" s="378"/>
      <c r="N23" s="378"/>
      <c r="O23" s="378"/>
      <c r="Q23" s="4" t="s">
        <v>452</v>
      </c>
      <c r="R23" s="107">
        <v>1.4E-2</v>
      </c>
      <c r="S23" s="373"/>
    </row>
    <row r="24" spans="2:19" ht="15" thickBot="1" x14ac:dyDescent="0.4">
      <c r="B24" s="4" t="s">
        <v>691</v>
      </c>
      <c r="C24" s="5" t="s">
        <v>695</v>
      </c>
      <c r="D24" s="5">
        <v>190</v>
      </c>
      <c r="E24" s="5">
        <v>134</v>
      </c>
      <c r="Q24" s="4" t="s">
        <v>453</v>
      </c>
      <c r="R24" s="107">
        <v>0.104</v>
      </c>
      <c r="S24" s="373"/>
    </row>
    <row r="25" spans="2:19" ht="65.5" customHeight="1" thickBot="1" x14ac:dyDescent="0.4">
      <c r="B25" s="4" t="s">
        <v>440</v>
      </c>
      <c r="C25" s="5" t="s">
        <v>696</v>
      </c>
      <c r="D25" s="5">
        <v>108</v>
      </c>
      <c r="E25" s="5">
        <v>89</v>
      </c>
      <c r="L25" s="2" t="s">
        <v>437</v>
      </c>
      <c r="M25" s="3" t="s">
        <v>454</v>
      </c>
      <c r="N25" s="3" t="s">
        <v>439</v>
      </c>
      <c r="Q25" s="4" t="s">
        <v>455</v>
      </c>
      <c r="R25" s="107">
        <v>5.0000000000000001E-3</v>
      </c>
      <c r="S25" s="374"/>
    </row>
    <row r="26" spans="2:19" ht="52.5" customHeight="1" thickBot="1" x14ac:dyDescent="0.4">
      <c r="B26" s="4" t="s">
        <v>440</v>
      </c>
      <c r="C26" s="5" t="s">
        <v>697</v>
      </c>
      <c r="D26" s="5">
        <v>178</v>
      </c>
      <c r="E26" s="5">
        <v>226</v>
      </c>
      <c r="L26" s="4" t="s">
        <v>368</v>
      </c>
      <c r="M26" s="5">
        <v>0.153</v>
      </c>
      <c r="N26" s="5" t="s">
        <v>456</v>
      </c>
    </row>
    <row r="27" spans="2:19" ht="90" customHeight="1" thickBot="1" x14ac:dyDescent="0.4">
      <c r="B27" s="4" t="s">
        <v>698</v>
      </c>
      <c r="C27" s="5" t="s">
        <v>699</v>
      </c>
      <c r="D27" s="5">
        <v>122</v>
      </c>
      <c r="E27" s="5">
        <v>43</v>
      </c>
      <c r="L27" s="4" t="s">
        <v>365</v>
      </c>
      <c r="M27" s="5">
        <v>0.13</v>
      </c>
      <c r="N27" s="5" t="s">
        <v>457</v>
      </c>
    </row>
    <row r="28" spans="2:19" ht="39.65" customHeight="1" thickBot="1" x14ac:dyDescent="0.4">
      <c r="B28" s="4" t="s">
        <v>698</v>
      </c>
      <c r="C28" s="5" t="s">
        <v>700</v>
      </c>
      <c r="D28" s="5">
        <v>113</v>
      </c>
      <c r="E28" s="5">
        <v>51</v>
      </c>
      <c r="L28" s="4" t="s">
        <v>360</v>
      </c>
      <c r="M28" s="104">
        <v>1.9</v>
      </c>
      <c r="N28" s="5" t="s">
        <v>458</v>
      </c>
    </row>
    <row r="29" spans="2:19" ht="35.15" customHeight="1" thickBot="1" x14ac:dyDescent="0.4">
      <c r="B29" s="4" t="s">
        <v>698</v>
      </c>
      <c r="C29" s="5" t="s">
        <v>701</v>
      </c>
      <c r="D29" s="5">
        <v>157</v>
      </c>
      <c r="E29" s="5">
        <v>51</v>
      </c>
      <c r="L29" s="365" t="s">
        <v>459</v>
      </c>
      <c r="M29" s="365" t="s">
        <v>460</v>
      </c>
      <c r="N29" s="105" t="s">
        <v>461</v>
      </c>
    </row>
    <row r="30" spans="2:19" ht="52.5" customHeight="1" thickBot="1" x14ac:dyDescent="0.4">
      <c r="B30" s="4" t="s">
        <v>698</v>
      </c>
      <c r="C30" s="5" t="s">
        <v>702</v>
      </c>
      <c r="D30" s="5">
        <v>187</v>
      </c>
      <c r="E30" s="5">
        <v>36</v>
      </c>
      <c r="L30" s="366"/>
      <c r="M30" s="366"/>
      <c r="N30" s="368" t="s">
        <v>462</v>
      </c>
    </row>
    <row r="31" spans="2:19" ht="52" customHeight="1" thickBot="1" x14ac:dyDescent="0.4">
      <c r="B31" s="4" t="s">
        <v>703</v>
      </c>
      <c r="C31" s="5" t="s">
        <v>704</v>
      </c>
      <c r="D31" s="5">
        <v>303</v>
      </c>
      <c r="E31" s="5">
        <v>118</v>
      </c>
      <c r="L31" s="367"/>
      <c r="M31" s="367"/>
      <c r="N31" s="369"/>
    </row>
    <row r="32" spans="2:19" ht="52" customHeight="1" thickBot="1" x14ac:dyDescent="0.4">
      <c r="B32" s="4" t="s">
        <v>703</v>
      </c>
      <c r="C32" s="5" t="s">
        <v>705</v>
      </c>
      <c r="D32" s="5">
        <v>267</v>
      </c>
      <c r="E32" s="5">
        <v>132</v>
      </c>
      <c r="L32" s="159"/>
      <c r="M32" s="159"/>
      <c r="N32" s="160"/>
    </row>
    <row r="33" spans="2:14" ht="52" customHeight="1" thickBot="1" x14ac:dyDescent="0.4">
      <c r="B33" s="4" t="s">
        <v>703</v>
      </c>
      <c r="C33" s="5" t="s">
        <v>706</v>
      </c>
      <c r="D33" s="5">
        <v>492</v>
      </c>
      <c r="E33" s="5">
        <v>78</v>
      </c>
      <c r="L33" s="159"/>
      <c r="M33" s="159"/>
      <c r="N33" s="160"/>
    </row>
    <row r="34" spans="2:14" ht="15" thickBot="1" x14ac:dyDescent="0.4">
      <c r="B34" s="4" t="s">
        <v>707</v>
      </c>
      <c r="C34" s="5" t="s">
        <v>708</v>
      </c>
      <c r="D34" s="5">
        <v>118</v>
      </c>
      <c r="E34" s="5">
        <v>108</v>
      </c>
    </row>
    <row r="35" spans="2:14" ht="26.5" thickBot="1" x14ac:dyDescent="0.4">
      <c r="B35" s="4" t="s">
        <v>707</v>
      </c>
      <c r="C35" s="5" t="s">
        <v>709</v>
      </c>
      <c r="D35" s="5">
        <v>150</v>
      </c>
      <c r="E35" s="5">
        <v>93</v>
      </c>
    </row>
    <row r="36" spans="2:14" ht="15" thickBot="1" x14ac:dyDescent="0.4">
      <c r="B36" s="4" t="s">
        <v>707</v>
      </c>
      <c r="C36" s="5" t="s">
        <v>710</v>
      </c>
      <c r="D36" s="5">
        <v>112</v>
      </c>
      <c r="E36" s="5">
        <v>103</v>
      </c>
    </row>
    <row r="37" spans="2:14" ht="15" thickBot="1" x14ac:dyDescent="0.4">
      <c r="B37" s="4" t="s">
        <v>711</v>
      </c>
      <c r="C37" s="5" t="s">
        <v>712</v>
      </c>
      <c r="D37" s="5">
        <v>644</v>
      </c>
      <c r="E37" s="5">
        <v>192</v>
      </c>
    </row>
    <row r="38" spans="2:14" ht="15" thickBot="1" x14ac:dyDescent="0.4">
      <c r="B38" s="4" t="s">
        <v>711</v>
      </c>
      <c r="C38" s="5" t="s">
        <v>713</v>
      </c>
      <c r="D38" s="5">
        <v>598</v>
      </c>
      <c r="E38" s="5">
        <v>152</v>
      </c>
    </row>
    <row r="39" spans="2:14" ht="22" customHeight="1" thickBot="1" x14ac:dyDescent="0.4">
      <c r="B39" s="4" t="s">
        <v>711</v>
      </c>
      <c r="C39" s="5" t="s">
        <v>714</v>
      </c>
      <c r="D39" s="5">
        <v>343</v>
      </c>
      <c r="E39" s="5">
        <v>105</v>
      </c>
    </row>
    <row r="43" spans="2:14" ht="15.5" x14ac:dyDescent="0.35">
      <c r="B43" s="132" t="s">
        <v>463</v>
      </c>
      <c r="C43" s="118"/>
    </row>
    <row r="44" spans="2:14" ht="133" customHeight="1" x14ac:dyDescent="0.35">
      <c r="B44" s="370" t="s">
        <v>762</v>
      </c>
      <c r="C44" s="370"/>
      <c r="D44" s="370"/>
      <c r="E44" s="370"/>
      <c r="F44" s="370"/>
    </row>
    <row r="45" spans="2:14" ht="15" thickBot="1" x14ac:dyDescent="0.4">
      <c r="B45" s="119" t="s">
        <v>464</v>
      </c>
    </row>
    <row r="46" spans="2:14" ht="26.5" thickBot="1" x14ac:dyDescent="0.4">
      <c r="B46" s="2" t="s">
        <v>101</v>
      </c>
      <c r="C46" s="3" t="s">
        <v>465</v>
      </c>
      <c r="D46" s="3" t="s">
        <v>758</v>
      </c>
      <c r="E46" s="3" t="s">
        <v>466</v>
      </c>
    </row>
    <row r="47" spans="2:14" ht="63.65" customHeight="1" thickBot="1" x14ac:dyDescent="0.4">
      <c r="B47" s="4" t="s">
        <v>382</v>
      </c>
      <c r="C47" s="5" t="s">
        <v>718</v>
      </c>
      <c r="D47" s="5" t="s">
        <v>719</v>
      </c>
      <c r="E47" s="5">
        <v>0.66</v>
      </c>
    </row>
    <row r="48" spans="2:14" ht="51.65" customHeight="1" thickBot="1" x14ac:dyDescent="0.4">
      <c r="B48" s="4" t="s">
        <v>416</v>
      </c>
      <c r="C48" s="5" t="s">
        <v>720</v>
      </c>
      <c r="D48" s="5" t="s">
        <v>721</v>
      </c>
      <c r="E48" s="5">
        <v>0.28770000000000001</v>
      </c>
    </row>
    <row r="49" spans="2:5" ht="26.5" thickBot="1" x14ac:dyDescent="0.4">
      <c r="B49" s="4" t="s">
        <v>385</v>
      </c>
      <c r="C49" s="5" t="s">
        <v>722</v>
      </c>
      <c r="D49" s="5" t="s">
        <v>723</v>
      </c>
      <c r="E49" s="5">
        <v>0.28000000000000003</v>
      </c>
    </row>
    <row r="50" spans="2:5" ht="26.5" thickBot="1" x14ac:dyDescent="0.4">
      <c r="B50" s="4" t="s">
        <v>386</v>
      </c>
      <c r="C50" s="5" t="s">
        <v>724</v>
      </c>
      <c r="D50" s="5" t="s">
        <v>725</v>
      </c>
      <c r="E50" s="5">
        <v>0.9</v>
      </c>
    </row>
    <row r="51" spans="2:5" ht="39.5" thickBot="1" x14ac:dyDescent="0.4">
      <c r="B51" s="4" t="s">
        <v>384</v>
      </c>
      <c r="C51" s="5" t="s">
        <v>726</v>
      </c>
      <c r="D51" s="5" t="s">
        <v>727</v>
      </c>
      <c r="E51" s="5">
        <v>0.32</v>
      </c>
    </row>
    <row r="52" spans="2:5" ht="52.5" thickBot="1" x14ac:dyDescent="0.4">
      <c r="B52" s="4" t="s">
        <v>405</v>
      </c>
      <c r="C52" s="5" t="s">
        <v>728</v>
      </c>
      <c r="D52" s="5" t="s">
        <v>729</v>
      </c>
      <c r="E52" s="5">
        <v>1.35</v>
      </c>
    </row>
    <row r="53" spans="2:5" ht="15" thickBot="1" x14ac:dyDescent="0.4">
      <c r="B53" s="4" t="s">
        <v>387</v>
      </c>
      <c r="C53" s="5" t="s">
        <v>730</v>
      </c>
      <c r="D53" s="5" t="s">
        <v>731</v>
      </c>
      <c r="E53" s="5">
        <v>0.66</v>
      </c>
    </row>
    <row r="54" spans="2:5" ht="39.5" thickBot="1" x14ac:dyDescent="0.4">
      <c r="B54" s="4" t="s">
        <v>413</v>
      </c>
      <c r="C54" s="5" t="s">
        <v>732</v>
      </c>
      <c r="D54" s="5" t="s">
        <v>733</v>
      </c>
      <c r="E54" s="5">
        <v>0.22500000000000001</v>
      </c>
    </row>
    <row r="55" spans="2:5" ht="15" thickBot="1" x14ac:dyDescent="0.4">
      <c r="B55" s="4" t="s">
        <v>406</v>
      </c>
      <c r="C55" s="5" t="s">
        <v>472</v>
      </c>
      <c r="D55" s="5" t="s">
        <v>734</v>
      </c>
      <c r="E55" s="5">
        <v>0.2</v>
      </c>
    </row>
    <row r="56" spans="2:5" ht="15" thickBot="1" x14ac:dyDescent="0.4">
      <c r="B56" s="4" t="s">
        <v>399</v>
      </c>
      <c r="C56" s="5" t="s">
        <v>481</v>
      </c>
      <c r="D56" s="5" t="s">
        <v>482</v>
      </c>
      <c r="E56" s="5">
        <v>0.26</v>
      </c>
    </row>
    <row r="57" spans="2:5" ht="15" thickBot="1" x14ac:dyDescent="0.4">
      <c r="B57" s="4" t="s">
        <v>388</v>
      </c>
      <c r="C57" s="5" t="s">
        <v>735</v>
      </c>
      <c r="D57" s="5" t="s">
        <v>736</v>
      </c>
      <c r="E57" s="5">
        <v>0.93</v>
      </c>
    </row>
    <row r="58" spans="2:5" ht="15" thickBot="1" x14ac:dyDescent="0.4">
      <c r="B58" s="4" t="s">
        <v>103</v>
      </c>
      <c r="C58" s="5" t="s">
        <v>481</v>
      </c>
      <c r="D58" s="5" t="s">
        <v>482</v>
      </c>
      <c r="E58" s="5">
        <v>0.26</v>
      </c>
    </row>
    <row r="59" spans="2:5" ht="62.5" customHeight="1" thickBot="1" x14ac:dyDescent="0.4">
      <c r="B59" s="4" t="s">
        <v>411</v>
      </c>
      <c r="C59" s="5" t="s">
        <v>732</v>
      </c>
      <c r="D59" s="5" t="s">
        <v>733</v>
      </c>
      <c r="E59" s="5">
        <v>0.22500000000000001</v>
      </c>
    </row>
    <row r="60" spans="2:5" ht="26.5" thickBot="1" x14ac:dyDescent="0.4">
      <c r="B60" s="4" t="s">
        <v>389</v>
      </c>
      <c r="C60" s="5" t="s">
        <v>737</v>
      </c>
      <c r="D60" s="5" t="s">
        <v>738</v>
      </c>
      <c r="E60" s="5">
        <v>0.25</v>
      </c>
    </row>
    <row r="61" spans="2:5" ht="15" thickBot="1" x14ac:dyDescent="0.4">
      <c r="B61" s="4" t="s">
        <v>415</v>
      </c>
      <c r="C61" s="5" t="s">
        <v>739</v>
      </c>
      <c r="D61" s="5" t="s">
        <v>740</v>
      </c>
      <c r="E61" s="5">
        <v>0.19</v>
      </c>
    </row>
    <row r="62" spans="2:5" ht="26.5" thickBot="1" x14ac:dyDescent="0.4">
      <c r="B62" s="4" t="s">
        <v>417</v>
      </c>
      <c r="C62" s="5" t="s">
        <v>741</v>
      </c>
      <c r="D62" s="5" t="s">
        <v>742</v>
      </c>
      <c r="E62" s="5">
        <v>0.9</v>
      </c>
    </row>
    <row r="63" spans="2:5" ht="15" thickBot="1" x14ac:dyDescent="0.4">
      <c r="B63" s="4" t="s">
        <v>390</v>
      </c>
      <c r="C63" s="5" t="s">
        <v>743</v>
      </c>
      <c r="D63" s="5" t="s">
        <v>744</v>
      </c>
      <c r="E63" s="5">
        <v>0.27</v>
      </c>
    </row>
    <row r="64" spans="2:5" ht="26.5" thickBot="1" x14ac:dyDescent="0.4">
      <c r="B64" s="4" t="s">
        <v>392</v>
      </c>
      <c r="C64" s="5" t="s">
        <v>745</v>
      </c>
      <c r="D64" s="5" t="s">
        <v>746</v>
      </c>
      <c r="E64" s="5">
        <v>0.9</v>
      </c>
    </row>
    <row r="65" spans="2:5" ht="15" thickBot="1" x14ac:dyDescent="0.4">
      <c r="B65" s="4" t="s">
        <v>401</v>
      </c>
      <c r="C65" s="5" t="s">
        <v>469</v>
      </c>
      <c r="D65" s="5" t="s">
        <v>747</v>
      </c>
      <c r="E65" s="5">
        <v>0.3332</v>
      </c>
    </row>
    <row r="66" spans="2:5" ht="15" thickBot="1" x14ac:dyDescent="0.4">
      <c r="B66" s="4" t="s">
        <v>402</v>
      </c>
      <c r="C66" s="5" t="s">
        <v>478</v>
      </c>
      <c r="D66" s="5" t="s">
        <v>748</v>
      </c>
      <c r="E66" s="5">
        <v>0.23</v>
      </c>
    </row>
    <row r="67" spans="2:5" ht="15" thickBot="1" x14ac:dyDescent="0.4">
      <c r="B67" s="4" t="s">
        <v>403</v>
      </c>
      <c r="C67" s="5" t="s">
        <v>467</v>
      </c>
      <c r="D67" s="5" t="s">
        <v>468</v>
      </c>
      <c r="E67" s="5">
        <v>0.21049999999999999</v>
      </c>
    </row>
    <row r="68" spans="2:5" ht="15" thickBot="1" x14ac:dyDescent="0.4">
      <c r="B68" s="4" t="s">
        <v>400</v>
      </c>
      <c r="C68" s="5" t="s">
        <v>477</v>
      </c>
      <c r="D68" s="5" t="s">
        <v>749</v>
      </c>
      <c r="E68" s="5">
        <v>0.14000000000000001</v>
      </c>
    </row>
    <row r="69" spans="2:5" ht="15" thickBot="1" x14ac:dyDescent="0.4">
      <c r="B69" s="4" t="s">
        <v>404</v>
      </c>
      <c r="C69" s="5" t="s">
        <v>481</v>
      </c>
      <c r="D69" s="5" t="s">
        <v>482</v>
      </c>
      <c r="E69" s="5">
        <v>0.26</v>
      </c>
    </row>
    <row r="70" spans="2:5" ht="52.5" thickBot="1" x14ac:dyDescent="0.4">
      <c r="B70" s="4" t="s">
        <v>106</v>
      </c>
      <c r="C70" s="5" t="s">
        <v>473</v>
      </c>
      <c r="D70" s="5" t="s">
        <v>474</v>
      </c>
      <c r="E70" s="5">
        <v>0.21310000000000001</v>
      </c>
    </row>
    <row r="71" spans="2:5" ht="65.5" thickBot="1" x14ac:dyDescent="0.4">
      <c r="B71" s="4" t="s">
        <v>410</v>
      </c>
      <c r="C71" s="5" t="s">
        <v>750</v>
      </c>
      <c r="D71" s="5" t="s">
        <v>751</v>
      </c>
      <c r="E71" s="5">
        <v>0.21</v>
      </c>
    </row>
    <row r="72" spans="2:5" ht="26.5" thickBot="1" x14ac:dyDescent="0.4">
      <c r="B72" s="4" t="s">
        <v>407</v>
      </c>
      <c r="C72" s="5" t="s">
        <v>470</v>
      </c>
      <c r="D72" s="5" t="s">
        <v>471</v>
      </c>
      <c r="E72" s="5">
        <v>0.2</v>
      </c>
    </row>
    <row r="73" spans="2:5" ht="15" thickBot="1" x14ac:dyDescent="0.4">
      <c r="B73" s="4" t="s">
        <v>408</v>
      </c>
      <c r="C73" s="5" t="s">
        <v>479</v>
      </c>
      <c r="D73" s="5" t="s">
        <v>480</v>
      </c>
      <c r="E73" s="5">
        <v>0.38</v>
      </c>
    </row>
    <row r="74" spans="2:5" ht="15" thickBot="1" x14ac:dyDescent="0.4">
      <c r="B74" s="4" t="s">
        <v>409</v>
      </c>
      <c r="C74" s="5" t="s">
        <v>479</v>
      </c>
      <c r="D74" s="5" t="s">
        <v>480</v>
      </c>
      <c r="E74" s="5">
        <v>0.38</v>
      </c>
    </row>
    <row r="75" spans="2:5" ht="26.5" thickBot="1" x14ac:dyDescent="0.4">
      <c r="B75" s="4" t="s">
        <v>394</v>
      </c>
      <c r="C75" s="5" t="s">
        <v>752</v>
      </c>
      <c r="D75" s="5" t="s">
        <v>753</v>
      </c>
      <c r="E75" s="5">
        <v>0.24</v>
      </c>
    </row>
    <row r="76" spans="2:5" ht="15" thickBot="1" x14ac:dyDescent="0.4">
      <c r="B76" s="4" t="s">
        <v>629</v>
      </c>
      <c r="C76" s="5" t="s">
        <v>754</v>
      </c>
      <c r="D76" s="5" t="s">
        <v>755</v>
      </c>
      <c r="E76" s="5">
        <v>0.86</v>
      </c>
    </row>
    <row r="77" spans="2:5" ht="15" thickBot="1" x14ac:dyDescent="0.4">
      <c r="B77" s="4" t="s">
        <v>395</v>
      </c>
      <c r="C77" s="5" t="s">
        <v>756</v>
      </c>
      <c r="D77" s="5" t="s">
        <v>757</v>
      </c>
      <c r="E77" s="5">
        <v>0.4657</v>
      </c>
    </row>
    <row r="78" spans="2:5" ht="26.5" thickBot="1" x14ac:dyDescent="0.4">
      <c r="B78" s="4" t="s">
        <v>396</v>
      </c>
      <c r="C78" s="5" t="s">
        <v>475</v>
      </c>
      <c r="D78" s="5" t="s">
        <v>476</v>
      </c>
      <c r="E78" s="5">
        <v>0.1855</v>
      </c>
    </row>
  </sheetData>
  <sheetProtection algorithmName="SHA-512" hashValue="XcpQr9b8HPB/PCu2vkIl8bBpDjl94ArHyW18/Hy0yC+a2c3BMj0Nm93/GCOm1jMjp1xlFtQfuQIJue3LAtJKPA==" saltValue="FJ1f2k4aLPrVtVLo4324SQ==" spinCount="100000" sheet="1" objects="1" scenarios="1"/>
  <mergeCells count="11">
    <mergeCell ref="L29:L31"/>
    <mergeCell ref="M29:M31"/>
    <mergeCell ref="N30:N31"/>
    <mergeCell ref="B44:F44"/>
    <mergeCell ref="Q12:T12"/>
    <mergeCell ref="L12:O13"/>
    <mergeCell ref="S16:S25"/>
    <mergeCell ref="F15:H15"/>
    <mergeCell ref="B12:I12"/>
    <mergeCell ref="L18:O18"/>
    <mergeCell ref="L23:O23"/>
  </mergeCells>
  <hyperlinks>
    <hyperlink ref="N29" r:id="rId1" xr:uid="{00000000-0004-0000-0800-000000000000}"/>
    <hyperlink ref="S16" r:id="rId2" tooltip="https://www.racfoundation.org/assets/rac_foundation/content/downloadables/car-and-the-commute-web-version.pdf" xr:uid="{00000000-0004-0000-0800-000001000000}"/>
    <hyperlink ref="B5" location="'Benchmarking data'!B12" display="Energy use in building benchmarks" xr:uid="{00000000-0004-0000-0800-000002000000}"/>
    <hyperlink ref="B6" location="'Benchmarking data'!M9" display="Water use and waste benchmarks" xr:uid="{00000000-0004-0000-0800-000003000000}"/>
    <hyperlink ref="B7" location="'Benchmarking data'!R10" display="Commuting benchmarks" xr:uid="{00000000-0004-0000-0800-000004000000}"/>
    <hyperlink ref="B8" location="'Benchmarking data'!M23" display="Public transport £/passenger km benchmarks" xr:uid="{00000000-0004-0000-0800-000005000000}"/>
    <hyperlink ref="B9" location="'Benchmarking data'!B45" display="Waste density factors" xr:uid="{00000000-0004-0000-0800-000006000000}"/>
    <hyperlink ref="B13" r:id="rId3" xr:uid="{00000000-0004-0000-0800-000007000000}"/>
  </hyperlinks>
  <pageMargins left="0.7" right="0.7" top="0.75" bottom="0.75" header="0.3" footer="0.3"/>
  <pageSetup paperSize="8" scale="55" fitToHeight="0" orientation="landscape"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etadata xmlns="http://www.objective.com/ecm/document/metadata/FF3C5B18883D4E21973B57C2EEED7FD1" version="1.0.0">
  <systemFields>
    <field name="Objective-Id">
      <value order="0">A34708334</value>
    </field>
    <field name="Objective-Title">
      <value order="0">9 - Design and Translation - Net Zero Carbon reporting spreadsheet final (E)</value>
    </field>
    <field name="Objective-Description">
      <value order="0"/>
    </field>
    <field name="Objective-CreationStamp">
      <value order="0">2021-05-13T18:05:49Z</value>
    </field>
    <field name="Objective-IsApproved">
      <value order="0">false</value>
    </field>
    <field name="Objective-IsPublished">
      <value order="0">true</value>
    </field>
    <field name="Objective-DatePublished">
      <value order="0">2021-05-13T18:06:24Z</value>
    </field>
    <field name="Objective-ModificationStamp">
      <value order="0">2021-05-13T18:06:25Z</value>
    </field>
    <field name="Objective-Owner">
      <value order="0">Phillips, Rhiannon (ESNR-Strategy-Decarbonisation&amp;Energy)</value>
    </field>
    <field name="Objective-Path">
      <value order="0">Objective Global Folder:Business File Plan:Economy, Skills &amp; Natural Resources (ESNR):Economy, Skills &amp; Natural Resources (ESNR) - ERA - Decarbonisation &amp; Energy:1 - Save:Public Sector Decarbonisation:Delivery - Decarbonisation &amp; Energy - 2018 - 2020  :Workstream - Monitoring and Reporting - Development of Welsh Government standards</value>
    </field>
    <field name="Objective-Parent">
      <value order="0">Workstream - Monitoring and Reporting - Development of Welsh Government standards</value>
    </field>
    <field name="Objective-State">
      <value order="0">Published</value>
    </field>
    <field name="Objective-VersionId">
      <value order="0">vA68424561</value>
    </field>
    <field name="Objective-Version">
      <value order="0">1.0</value>
    </field>
    <field name="Objective-VersionNumber">
      <value order="0">1</value>
    </field>
    <field name="Objective-VersionComment">
      <value order="0">First version</value>
    </field>
    <field name="Objective-FileNumber">
      <value order="0">qA1367473</value>
    </field>
    <field name="Objective-Classification">
      <value order="0">Official</value>
    </field>
    <field name="Objective-Caveats">
      <value order="0"/>
    </field>
  </systemFields>
  <catalogues>
    <catalogue name="Document Type Catalogue" type="type" ori="id:cA14">
      <field name="Objective-Date Acquired">
        <value order="0">2021-05-12T23:00:00Z</value>
      </field>
      <field name="Objective-Official Translation">
        <value order="0"/>
      </field>
      <field name="Objective-Connect Creator">
        <value order="0"/>
      </field>
    </catalogue>
  </catalogues>
</metadata>
</file>

<file path=customXml/item3.xml><?xml version="1.0" encoding="utf-8"?>
<p:properties xmlns:xsi="http://www.w3.org/2001/XMLSchema-instance" xmlns:pc="http://schemas.microsoft.com/office/infopath/2007/PartnerControls" xmlns:p="http://schemas.microsoft.com/office/2006/metadata/properties">
  <documentManagement>
    <lcf76f155ced4ddcb4097134ff3c332f xmlns="f00b33eb-6526-4a11-b7bc-ffc5ef8454ca">
      <Terms xmlns="http://schemas.microsoft.com/office/infopath/2007/PartnerControls"/>
    </lcf76f155ced4ddcb4097134ff3c332f>
    <TaxCatchAll xmlns="2fc2a8c7-3b3f-4409-bc78-aa40538e7eb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46538D77993CB45ACFB3FCD6907904A" ma:contentTypeVersion="10" ma:contentTypeDescription="Create a new document." ma:contentTypeScope="" ma:versionID="e6e61cf67e6254fb38518fea7e8e0652">
  <xsd:schema xmlns:xsd="http://www.w3.org/2001/XMLSchema" xmlns:xs="http://www.w3.org/2001/XMLSchema" xmlns:p="http://schemas.microsoft.com/office/2006/metadata/properties" xmlns:ns2="f00b33eb-6526-4a11-b7bc-ffc5ef8454ca" xmlns:ns3="2fc2a8c7-3b3f-4409-bc78-aa40538e7eb1" targetNamespace="http://schemas.microsoft.com/office/2006/metadata/properties" ma:root="true" ma:fieldsID="cae5922ba833a49a3933bda62826035d" ns2:_="" ns3:_="">
    <xsd:import namespace="f00b33eb-6526-4a11-b7bc-ffc5ef8454ca"/>
    <xsd:import namespace="2fc2a8c7-3b3f-4409-bc78-aa40538e7e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b33eb-6526-4a11-b7bc-ffc5ef845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916344-974c-40d7-84f2-6dd26b6b4354}"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9732A7-1D95-4311-A98C-B3DB5215722B}">
  <ds:schemaRef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18ce686f-ec55-47ba-93ac-4e1affdd0871"/>
    <ds:schemaRef ds:uri="http://purl.org/dc/terms/"/>
    <ds:schemaRef ds:uri="http://purl.org/dc/elements/1.1/"/>
    <ds:schemaRef ds:uri="http://schemas.microsoft.com/sharepoint/v3/contenttype/form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3B29AECD-ED03-4139-9D95-9DA9641B40EB}">
  <ds:schemaRefs>
    <ds:schemaRef ds:uri="http://schemas.microsoft.com/sharepoint/v3/contenttype/forms"/>
    <ds:schemaRef ds:uri="http://schemas.microsoft.com/office/infopath/2007/PartnerControls"/>
    <ds:schemaRef ds:uri="http://schemas.microsoft.com/office/2006/metadata/properties"/>
    <ds:schemaRef ds:uri="3796c711-4acb-4d3d-a580-180100c913f5"/>
    <ds:schemaRef ds:uri="0fc7efbc-3519-4043-a7cf-9257e46b4e16"/>
    <ds:schemaRef ds:uri="f00b33eb-6526-4a11-b7bc-ffc5ef8454ca"/>
    <ds:schemaRef ds:uri="2fc2a8c7-3b3f-4409-bc78-aa40538e7eb1"/>
  </ds:schemaRefs>
</ds:datastoreItem>
</file>

<file path=customXml/itemProps4.xml><?xml version="1.0" encoding="utf-8"?>
<ds:datastoreItem xmlns:ds="http://schemas.openxmlformats.org/officeDocument/2006/customXml" ds:itemID="{F32EE89B-45F8-4E9B-B9E3-00E33E1BE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b33eb-6526-4a11-b7bc-ffc5ef8454ca"/>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183</vt:i4>
      </vt:variant>
    </vt:vector>
  </HeadingPairs>
  <TitlesOfParts>
    <vt:vector size="193" baseType="lpstr">
      <vt:lpstr>Cyflwyniad</vt:lpstr>
      <vt:lpstr>Crynodeb o’r Canlyniadau</vt:lpstr>
      <vt:lpstr>Adeiladau, Fflyd ac Offer </vt:lpstr>
      <vt:lpstr>Teithio i’r Ysgol a Theithiau S</vt:lpstr>
      <vt:lpstr>Gwastraff</vt:lpstr>
      <vt:lpstr>Y Gadwyn Gyflenwi</vt:lpstr>
      <vt:lpstr>Adnewyddadwy</vt:lpstr>
      <vt:lpstr>Ffactorau Allyriadau</vt:lpstr>
      <vt:lpstr>Data Meincnodi</vt:lpstr>
      <vt:lpstr>Lists</vt:lpstr>
      <vt:lpstr>'Data Meincnodi'!_ftnref1</vt:lpstr>
      <vt:lpstr>'Data Meincnodi'!_Toc103010521</vt:lpstr>
      <vt:lpstr>Aggregates</vt:lpstr>
      <vt:lpstr>AGRIC</vt:lpstr>
      <vt:lpstr>Agriculture</vt:lpstr>
      <vt:lpstr>Allfleetfuel</vt:lpstr>
      <vt:lpstr>Anaestheticgas</vt:lpstr>
      <vt:lpstr>Anaestheticgasunits</vt:lpstr>
      <vt:lpstr>Anatomicalwaste</vt:lpstr>
      <vt:lpstr>Asbestos</vt:lpstr>
      <vt:lpstr>Asphalt</vt:lpstr>
      <vt:lpstr>Averageconstruction</vt:lpstr>
      <vt:lpstr>Batteries</vt:lpstr>
      <vt:lpstr>Biodieselcategory1</vt:lpstr>
      <vt:lpstr>Biodieselunits</vt:lpstr>
      <vt:lpstr>Bioenergycategory1</vt:lpstr>
      <vt:lpstr>Bioenergyunits</vt:lpstr>
      <vt:lpstr>Biopetrolcategory1</vt:lpstr>
      <vt:lpstr>Biopetrolunits</vt:lpstr>
      <vt:lpstr>Bricks</vt:lpstr>
      <vt:lpstr>Buildings</vt:lpstr>
      <vt:lpstr>Buildingsownership</vt:lpstr>
      <vt:lpstr>Businesstravel</vt:lpstr>
      <vt:lpstr>Cattle</vt:lpstr>
      <vt:lpstr>CHPplant</vt:lpstr>
      <vt:lpstr>Clinicalwaste</vt:lpstr>
      <vt:lpstr>Clothing</vt:lpstr>
      <vt:lpstr>Coalcategory1</vt:lpstr>
      <vt:lpstr>Coalunits</vt:lpstr>
      <vt:lpstr>Commercialandindustrialwaste</vt:lpstr>
      <vt:lpstr>Commuting</vt:lpstr>
      <vt:lpstr>Concrete</vt:lpstr>
      <vt:lpstr>Dieselcategory1</vt:lpstr>
      <vt:lpstr>Dieselunits</vt:lpstr>
      <vt:lpstr>Ease</vt:lpstr>
      <vt:lpstr>Equipmentfuel</vt:lpstr>
      <vt:lpstr>F_gases</vt:lpstr>
      <vt:lpstr>F_GasUnits</vt:lpstr>
      <vt:lpstr>FarmlandSoils</vt:lpstr>
      <vt:lpstr>Farmlandsoilsunits</vt:lpstr>
      <vt:lpstr>Fgas</vt:lpstr>
      <vt:lpstr>fgasunits</vt:lpstr>
      <vt:lpstr>FireandRescueService</vt:lpstr>
      <vt:lpstr>Fleetandequipmentfuel</vt:lpstr>
      <vt:lpstr>Fleetdistance</vt:lpstr>
      <vt:lpstr>Flightcategory1</vt:lpstr>
      <vt:lpstr>Flightdomestic</vt:lpstr>
      <vt:lpstr>Flightlonghaul</vt:lpstr>
      <vt:lpstr>Flightshorthaul</vt:lpstr>
      <vt:lpstr>Flightunits</vt:lpstr>
      <vt:lpstr>Gasoilcategory1</vt:lpstr>
      <vt:lpstr>Gasoilunits</vt:lpstr>
      <vt:lpstr>Generatorfuel</vt:lpstr>
      <vt:lpstr>Gridelectricitycategory1</vt:lpstr>
      <vt:lpstr>Gridelectricityunits</vt:lpstr>
      <vt:lpstr>HealthBoardorTrust</vt:lpstr>
      <vt:lpstr>Heatandsteamcategory1</vt:lpstr>
      <vt:lpstr>Heatandsteamunits</vt:lpstr>
      <vt:lpstr>HGVfuel</vt:lpstr>
      <vt:lpstr>HGVsize</vt:lpstr>
      <vt:lpstr>HGVsizefuel</vt:lpstr>
      <vt:lpstr>HGVunits</vt:lpstr>
      <vt:lpstr>Hirecaraverage</vt:lpstr>
      <vt:lpstr>Hirecarcategory1</vt:lpstr>
      <vt:lpstr>Hirecarlarge</vt:lpstr>
      <vt:lpstr>Hirecarmedium</vt:lpstr>
      <vt:lpstr>Hirecarsmall</vt:lpstr>
      <vt:lpstr>Hirecarunits</vt:lpstr>
      <vt:lpstr>Homeworking</vt:lpstr>
      <vt:lpstr>Householdresidualwaste</vt:lpstr>
      <vt:lpstr>Infectiouswaste</vt:lpstr>
      <vt:lpstr>Insulation</vt:lpstr>
      <vt:lpstr>Kerosenecategory1</vt:lpstr>
      <vt:lpstr>Keroseneunits</vt:lpstr>
      <vt:lpstr>landuse</vt:lpstr>
      <vt:lpstr>landusetypes</vt:lpstr>
      <vt:lpstr>Livestock</vt:lpstr>
      <vt:lpstr>Livestockunits</vt:lpstr>
      <vt:lpstr>LocalAuthority</vt:lpstr>
      <vt:lpstr>LPGcategory1</vt:lpstr>
      <vt:lpstr>LPGunits</vt:lpstr>
      <vt:lpstr>Medicalcontaminatedsharpswaste</vt:lpstr>
      <vt:lpstr>Medicinalwaste</vt:lpstr>
      <vt:lpstr>Metals</vt:lpstr>
      <vt:lpstr>Methdologytier2</vt:lpstr>
      <vt:lpstr>Methodologyall</vt:lpstr>
      <vt:lpstr>Methodologytier</vt:lpstr>
      <vt:lpstr>Methodologytier1</vt:lpstr>
      <vt:lpstr>Methodologytier23</vt:lpstr>
      <vt:lpstr>Methodologytier3</vt:lpstr>
      <vt:lpstr>Mineraloil</vt:lpstr>
      <vt:lpstr>Mixedglass</vt:lpstr>
      <vt:lpstr>Mixedmetalcans</vt:lpstr>
      <vt:lpstr>Mixedpaper</vt:lpstr>
      <vt:lpstr>Mixedplastics</vt:lpstr>
      <vt:lpstr>Mixedrecycling</vt:lpstr>
      <vt:lpstr>MixedWEEE</vt:lpstr>
      <vt:lpstr>Motorbikeaverage</vt:lpstr>
      <vt:lpstr>Motorbikecategory1</vt:lpstr>
      <vt:lpstr>motorbikelarge</vt:lpstr>
      <vt:lpstr>Motorbikemedium</vt:lpstr>
      <vt:lpstr>Motorbikesmall</vt:lpstr>
      <vt:lpstr>Motorbikeunits</vt:lpstr>
      <vt:lpstr>Municipalwaste</vt:lpstr>
      <vt:lpstr>NationalParkAuthority</vt:lpstr>
      <vt:lpstr>Naturalgascategory1</vt:lpstr>
      <vt:lpstr>Naturalgasunits</vt:lpstr>
      <vt:lpstr>Noninfectiousoffensivewaste</vt:lpstr>
      <vt:lpstr>Onsiterenewables</vt:lpstr>
      <vt:lpstr>Organicfoodanddrink</vt:lpstr>
      <vt:lpstr>Organicgarden</vt:lpstr>
      <vt:lpstr>Organicmixed</vt:lpstr>
      <vt:lpstr>OrganisationalInfo</vt:lpstr>
      <vt:lpstr>Organisationalwaste</vt:lpstr>
      <vt:lpstr>Organisations</vt:lpstr>
      <vt:lpstr>Organisationwastetype</vt:lpstr>
      <vt:lpstr>OrgType</vt:lpstr>
      <vt:lpstr>Other</vt:lpstr>
      <vt:lpstr>Othergases</vt:lpstr>
      <vt:lpstr>Peerreview</vt:lpstr>
      <vt:lpstr>Petrolcategory1</vt:lpstr>
      <vt:lpstr>Petrolunits</vt:lpstr>
      <vt:lpstr>Plasterboard</vt:lpstr>
      <vt:lpstr>Poolcarfuel</vt:lpstr>
      <vt:lpstr>PoolcarSize</vt:lpstr>
      <vt:lpstr>Poolcarsizefuel</vt:lpstr>
      <vt:lpstr>Poolcarunits</vt:lpstr>
      <vt:lpstr>Privatecaraverage</vt:lpstr>
      <vt:lpstr>Privatecarcategory1</vt:lpstr>
      <vt:lpstr>Privatecarlarge</vt:lpstr>
      <vt:lpstr>Privatecarmedium</vt:lpstr>
      <vt:lpstr>Privatecarsmall</vt:lpstr>
      <vt:lpstr>Privatecarunits</vt:lpstr>
      <vt:lpstr>Projectwaste</vt:lpstr>
      <vt:lpstr>Publictransportbus</vt:lpstr>
      <vt:lpstr>Publictransportcategory1</vt:lpstr>
      <vt:lpstr>Publictransportferry</vt:lpstr>
      <vt:lpstr>Publictransportrail</vt:lpstr>
      <vt:lpstr>Publictransporttaxi</vt:lpstr>
      <vt:lpstr>Publictransportunits</vt:lpstr>
      <vt:lpstr>Purchasedrenewableelectricityagreement</vt:lpstr>
      <vt:lpstr>Purchasedrenewableheatagreement</vt:lpstr>
      <vt:lpstr>Purchasedrenewables</vt:lpstr>
      <vt:lpstr>Regions</vt:lpstr>
      <vt:lpstr>RenewableCHPelectricitytechnology</vt:lpstr>
      <vt:lpstr>RenewableCHPheattechnology</vt:lpstr>
      <vt:lpstr>Renewableelectricity</vt:lpstr>
      <vt:lpstr>Renewableelectricitytechnology</vt:lpstr>
      <vt:lpstr>Renewableheat</vt:lpstr>
      <vt:lpstr>Renewableheattechnology</vt:lpstr>
      <vt:lpstr>Renewables</vt:lpstr>
      <vt:lpstr>ReportingComments</vt:lpstr>
      <vt:lpstr>Reportingyear</vt:lpstr>
      <vt:lpstr>RSD</vt:lpstr>
      <vt:lpstr>Sheep</vt:lpstr>
      <vt:lpstr>SICProductCategories</vt:lpstr>
      <vt:lpstr>SICProductCodeLookup</vt:lpstr>
      <vt:lpstr>soil</vt:lpstr>
      <vt:lpstr>Streetlighting</vt:lpstr>
      <vt:lpstr>SupplyChain_Tier2RSD</vt:lpstr>
      <vt:lpstr>Supplychaingroup</vt:lpstr>
      <vt:lpstr>Typeoflighting</vt:lpstr>
      <vt:lpstr>Tyres</vt:lpstr>
      <vt:lpstr>UniveristyorCollege</vt:lpstr>
      <vt:lpstr>vanaverage</vt:lpstr>
      <vt:lpstr>vanbiodiesel</vt:lpstr>
      <vt:lpstr>vanbiopetrol</vt:lpstr>
      <vt:lpstr>vancategory1</vt:lpstr>
      <vt:lpstr>Vancategory2</vt:lpstr>
      <vt:lpstr>vanfuel</vt:lpstr>
      <vt:lpstr>Vansize</vt:lpstr>
      <vt:lpstr>Vansizefuel</vt:lpstr>
      <vt:lpstr>Vanunits</vt:lpstr>
      <vt:lpstr>Vehicles</vt:lpstr>
      <vt:lpstr>Version</vt:lpstr>
      <vt:lpstr>WasteSoils</vt:lpstr>
      <vt:lpstr>Wastesource</vt:lpstr>
      <vt:lpstr>Wasteunits</vt:lpstr>
      <vt:lpstr>Watercategory1</vt:lpstr>
      <vt:lpstr>Waterunits</vt:lpstr>
      <vt:lpstr>WelshGovernment</vt:lpstr>
      <vt:lpstr>Wood</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Cyfrifiannell Carbon Ysgolion</dc:title>
  <dc:subject/>
  <dc:creator>Clare Wharmby</dc:creator>
  <cp:keywords/>
  <dc:description/>
  <cp:lastModifiedBy>Ella Bailey</cp:lastModifiedBy>
  <cp:lastPrinted>2026-06-11T14:44:46Z</cp:lastPrinted>
  <dcterms:created xsi:type="dcterms:W3CDTF">2019-12-05T11:58:06Z</dcterms:created>
  <dcterms:modified xsi:type="dcterms:W3CDTF">2026-08-07T10:48:35Z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0x010100D46538D77993CB45ACFB3FCD6907904A</vt:lpwstr>
  </property>
  <property fmtid="{D5CDD505-2E9C-101B-9397-08002B2CF9AE}" pid="3" name="Objective-Id">
    <vt:lpwstr>A34708334</vt:lpwstr>
  </property>
  <property fmtid="{D5CDD505-2E9C-101B-9397-08002B2CF9AE}" pid="4" name="Objective-Title">
    <vt:lpwstr>9 - Design and Translation - Net Zero Carbon reporting spreadsheet final (E)</vt:lpwstr>
  </property>
  <property fmtid="{D5CDD505-2E9C-101B-9397-08002B2CF9AE}" pid="5" name="Objective-Description">
    <vt:lpwstr/>
  </property>
  <property fmtid="{D5CDD505-2E9C-101B-9397-08002B2CF9AE}" pid="6" name="Objective-CreationStamp">
    <vt:filetime>2021-05-13T18:05:49Z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2021-05-13T18:06:24Z</vt:filetime>
  </property>
  <property fmtid="{D5CDD505-2E9C-101B-9397-08002B2CF9AE}" pid="10" name="Objective-ModificationStamp">
    <vt:filetime>2021-05-13T18:06:25Z</vt:filetime>
  </property>
  <property fmtid="{D5CDD505-2E9C-101B-9397-08002B2CF9AE}" pid="11" name="Objective-Owner">
    <vt:lpwstr>Phillips, Rhiannon (ESNR-Strategy-Decarbonisation&amp;Energy)</vt:lpwstr>
  </property>
  <property fmtid="{D5CDD505-2E9C-101B-9397-08002B2CF9AE}" pid="12" name="Objective-Path">
    <vt:lpwstr>Objective Global Folder:Business File Plan:Economy, Skills &amp; Natural Resources (ESNR):Economy, Skills &amp; Natural Resources (ESNR) - ERA - Decarbonisation &amp; Energy:1 - Save:Public Sector Decarbonisation:Delivery - Decarbonisation &amp; Energy - 2018 - 2020  :Wo</vt:lpwstr>
  </property>
  <property fmtid="{D5CDD505-2E9C-101B-9397-08002B2CF9AE}" pid="13" name="Objective-Parent">
    <vt:lpwstr>Workstream - Monitoring and Reporting - Development of Welsh Government standards</vt:lpwstr>
  </property>
  <property fmtid="{D5CDD505-2E9C-101B-9397-08002B2CF9AE}" pid="14" name="Objective-State">
    <vt:lpwstr>Published</vt:lpwstr>
  </property>
  <property fmtid="{D5CDD505-2E9C-101B-9397-08002B2CF9AE}" pid="15" name="Objective-VersionId">
    <vt:lpwstr>vA68424561</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qA1367473</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Date Acquired">
    <vt:filetime>2021-05-12T23:00:00Z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MediaServiceImageTags">
    <vt:lpwstr/>
  </property>
</Properties>
</file>